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48" activeTab="0"/>
  </bookViews>
  <sheets>
    <sheet name="ACP 16-17" sheetId="1" r:id="rId1"/>
    <sheet name="TISWADI " sheetId="2" r:id="rId2"/>
    <sheet name="BARDEZ" sheetId="3" r:id="rId3"/>
    <sheet name="BICHOLIM" sheetId="4" r:id="rId4"/>
    <sheet name="PERNEM" sheetId="5" r:id="rId5"/>
    <sheet name="TRAIL SATTARI" sheetId="6" r:id="rId6"/>
    <sheet name="BANKWISE" sheetId="7" r:id="rId7"/>
    <sheet name="SUM" sheetId="8" r:id="rId8"/>
  </sheets>
  <definedNames>
    <definedName name="_xlnm.Print_Area" localSheetId="0">'ACP 16-17'!$A$1:$P$28</definedName>
    <definedName name="_xlnm.Print_Area" localSheetId="6">'BANKWISE'!$A$1:$R$877</definedName>
    <definedName name="_xlnm.Print_Area" localSheetId="2">'BARDEZ'!$C$1:$R$268</definedName>
    <definedName name="_xlnm.Print_Area" localSheetId="3">'BICHOLIM'!$A$1:$R$93</definedName>
    <definedName name="_xlnm.Print_Area" localSheetId="4">'PERNEM'!$A$1:$R$62</definedName>
    <definedName name="_xlnm.Print_Area" localSheetId="1">'TISWADI '!$C$1:$S$275</definedName>
    <definedName name="_xlnm.Print_Area" localSheetId="5">'TRAIL SATTARI'!$A$1:$Q$38</definedName>
    <definedName name="unnamed1">'BICHOLIM'!$A$5:$R$14</definedName>
    <definedName name="unnamed1_1">'BANKWISE'!$A$1:$R$25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<sst xmlns="http://schemas.openxmlformats.org/spreadsheetml/2006/main" count="2179" uniqueCount="529">
  <si>
    <t>ACP NORTH GOA 2016-17</t>
  </si>
  <si>
    <t>` 000</t>
  </si>
  <si>
    <t>ACP NORTH GOA 2015-16</t>
  </si>
  <si>
    <t>Crop</t>
  </si>
  <si>
    <t>Agri Term</t>
  </si>
  <si>
    <t>Sub Total</t>
  </si>
  <si>
    <t>Agri Infra</t>
  </si>
  <si>
    <t>Ancillary Activites</t>
  </si>
  <si>
    <t>Credit Potential for Agri</t>
  </si>
  <si>
    <t>MSME</t>
  </si>
  <si>
    <t>Export Credit</t>
  </si>
  <si>
    <t>Education</t>
  </si>
  <si>
    <t>Housing</t>
  </si>
  <si>
    <t>Renewable Energy</t>
  </si>
  <si>
    <t>Others</t>
  </si>
  <si>
    <t>Social Infrastructure</t>
  </si>
  <si>
    <t>Services</t>
  </si>
  <si>
    <t>TOTAL</t>
  </si>
  <si>
    <t>Industries</t>
  </si>
  <si>
    <t>Loans</t>
  </si>
  <si>
    <t>SSI</t>
  </si>
  <si>
    <t>OPS</t>
  </si>
  <si>
    <t>2016-17</t>
  </si>
  <si>
    <t>2015-16</t>
  </si>
  <si>
    <t xml:space="preserve">A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</si>
  <si>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</si>
  <si>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</si>
  <si>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</si>
  <si>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</si>
  <si>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</si>
  <si>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</si>
  <si>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</si>
  <si>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</si>
  <si>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</si>
  <si>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</si>
  <si>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</si>
  <si>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</si>
  <si>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</si>
  <si>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</si>
  <si>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A+B</t>
  </si>
  <si>
    <t>D+E+F</t>
  </si>
  <si>
    <t>TISWADI</t>
  </si>
  <si>
    <t>BARDEZ</t>
  </si>
  <si>
    <t>BICHOLIM</t>
  </si>
  <si>
    <t>PERNEM</t>
  </si>
  <si>
    <t>SATTARI</t>
  </si>
  <si>
    <t>Total 16-17</t>
  </si>
  <si>
    <t>VARIANCE</t>
  </si>
  <si>
    <t xml:space="preserve"> NORTH GOA</t>
  </si>
  <si>
    <t>000</t>
  </si>
  <si>
    <t>BLOCK : TISWADI</t>
  </si>
  <si>
    <t>BLOCKWISE  ANNUAL CREDIT PLAN  2016-17</t>
  </si>
  <si>
    <t>TISWADI1</t>
  </si>
  <si>
    <t>BLOCKWISE  ANNUAL CREDIT PLAN  2015-16</t>
  </si>
  <si>
    <t>Sr.</t>
  </si>
  <si>
    <t>Name of the Bank and</t>
  </si>
  <si>
    <t>No.</t>
  </si>
  <si>
    <t>Branch</t>
  </si>
  <si>
    <t>F+G+H</t>
  </si>
  <si>
    <t>State Bank of India</t>
  </si>
  <si>
    <t>Bambolim</t>
  </si>
  <si>
    <t>Merces</t>
  </si>
  <si>
    <t>Goa Velha</t>
  </si>
  <si>
    <t>Old Goa</t>
  </si>
  <si>
    <t>Madel Chorao</t>
  </si>
  <si>
    <t>St Estevam</t>
  </si>
  <si>
    <t>Panaji Secretariat</t>
  </si>
  <si>
    <t>Dona Paula</t>
  </si>
  <si>
    <t>Goa University</t>
  </si>
  <si>
    <t>PBB Panaji</t>
  </si>
  <si>
    <t>Treasury Branch Panaji</t>
  </si>
  <si>
    <t>Panaji</t>
  </si>
  <si>
    <t>NRI Branch</t>
  </si>
  <si>
    <t>Caranzalem</t>
  </si>
  <si>
    <t>Curca</t>
  </si>
  <si>
    <t>Taleigao</t>
  </si>
  <si>
    <t>Panaji City</t>
  </si>
  <si>
    <t>Panaji Commercial</t>
  </si>
  <si>
    <t>Total</t>
  </si>
  <si>
    <t>State Bank of Mysore</t>
  </si>
  <si>
    <t>Andhra Bank</t>
  </si>
  <si>
    <t>Bank of Baroda</t>
  </si>
  <si>
    <t>Bank of Baroda Taleigao</t>
  </si>
  <si>
    <t>Bank of India</t>
  </si>
  <si>
    <t>BOI Campal</t>
  </si>
  <si>
    <t>BOI Mandur</t>
  </si>
  <si>
    <t>BOI Panaji</t>
  </si>
  <si>
    <t>BOI Taleigao</t>
  </si>
  <si>
    <t>BOI Patto Plaza</t>
  </si>
  <si>
    <t>BOI Miramar</t>
  </si>
  <si>
    <t>Batim</t>
  </si>
  <si>
    <t>Retail Hub</t>
  </si>
  <si>
    <t>Neura</t>
  </si>
  <si>
    <t>Bank of Maharashtra</t>
  </si>
  <si>
    <t>BOM Panaji</t>
  </si>
  <si>
    <t>BOM Cumbharjua</t>
  </si>
  <si>
    <t>Canara Bank</t>
  </si>
  <si>
    <t>Canara Bank Old Goa</t>
  </si>
  <si>
    <t>Canara Bank Panaji (NSA)</t>
  </si>
  <si>
    <t>Canara Bank St. Cruz</t>
  </si>
  <si>
    <t>Canara Bank Siridao</t>
  </si>
  <si>
    <t>SME Panaji</t>
  </si>
  <si>
    <t>Canara Bank Patto Panaji</t>
  </si>
  <si>
    <t>Catholic Syrian Bank</t>
  </si>
  <si>
    <t>Central Bank of India</t>
  </si>
  <si>
    <t>CBI Chorao</t>
  </si>
  <si>
    <t>CBI Divar Piedad</t>
  </si>
  <si>
    <t>CBI Panaji</t>
  </si>
  <si>
    <t>Corporation Bank</t>
  </si>
  <si>
    <t>Corp. Bk. Panaji</t>
  </si>
  <si>
    <t>Corp. Bk. Tonka</t>
  </si>
  <si>
    <t>Corp. Bk. Ribandar</t>
  </si>
  <si>
    <t>Agassaim</t>
  </si>
  <si>
    <t>Rua-de-querem</t>
  </si>
  <si>
    <t>Dena Bank</t>
  </si>
  <si>
    <t>Dena Bank Velha</t>
  </si>
  <si>
    <t>Dena Bank Panaji</t>
  </si>
  <si>
    <t>Dena Pillar</t>
  </si>
  <si>
    <t>EDC</t>
  </si>
  <si>
    <t>Federal Bank</t>
  </si>
  <si>
    <t>Indian Bank</t>
  </si>
  <si>
    <t>Indian Overseas Bank</t>
  </si>
  <si>
    <t>IOB Corlim Ind.</t>
  </si>
  <si>
    <t>IOB Panaji</t>
  </si>
  <si>
    <t>IOB Taleigao</t>
  </si>
  <si>
    <t>St Cruz</t>
  </si>
  <si>
    <t>IOB St. Estevam</t>
  </si>
  <si>
    <t>Karnataka Bank</t>
  </si>
  <si>
    <t>M.S.F.C</t>
  </si>
  <si>
    <t>Oriental Bk of Comm.</t>
  </si>
  <si>
    <t>Patto Panaji</t>
  </si>
  <si>
    <t>Miramar</t>
  </si>
  <si>
    <t>Punjab National Bank</t>
  </si>
  <si>
    <t>Punjab &amp; Sind Bank</t>
  </si>
  <si>
    <t>South Indian Bank</t>
  </si>
  <si>
    <t>Syndicate Bank</t>
  </si>
  <si>
    <t>Syndicate Agacaim</t>
  </si>
  <si>
    <t>Syndicate  Caranzalem</t>
  </si>
  <si>
    <t>Syndicate  Merces</t>
  </si>
  <si>
    <t>Syndicate  Panaji</t>
  </si>
  <si>
    <t>Syndicate  Ribandar</t>
  </si>
  <si>
    <t>UCO Bank</t>
  </si>
  <si>
    <t>Union Bank of India</t>
  </si>
  <si>
    <t>St. Inez</t>
  </si>
  <si>
    <t>United Bank of India</t>
  </si>
  <si>
    <t>IDBI</t>
  </si>
  <si>
    <t>Vijaya Bank</t>
  </si>
  <si>
    <t>ING Vysya Bank</t>
  </si>
  <si>
    <t>Goa State Co-op Bank</t>
  </si>
  <si>
    <t>GSCB Caranzalem</t>
  </si>
  <si>
    <t>GSCB HO</t>
  </si>
  <si>
    <t>GSCB KTC (NSA)</t>
  </si>
  <si>
    <t>GSCB KTC (SA)</t>
  </si>
  <si>
    <t>GSCB Panaji</t>
  </si>
  <si>
    <t>GSCB  Taleigao</t>
  </si>
  <si>
    <t>GSCB Panaji A &amp; RD</t>
  </si>
  <si>
    <t>GSCB Merces</t>
  </si>
  <si>
    <t>Goa Urban Co-op Bank</t>
  </si>
  <si>
    <t>GUCB HO</t>
  </si>
  <si>
    <t>GUCB Mala</t>
  </si>
  <si>
    <t>GUCB Miramar</t>
  </si>
  <si>
    <t>GUCB Panaji</t>
  </si>
  <si>
    <t>GUCB Panaji Market</t>
  </si>
  <si>
    <t>Mapuca Urban Co-op Bk</t>
  </si>
  <si>
    <t>MUCB Panaji</t>
  </si>
  <si>
    <t>MUCB Divar</t>
  </si>
  <si>
    <t>MUCB St.Cruz</t>
  </si>
  <si>
    <t>MUCB Taleigao</t>
  </si>
  <si>
    <t>Madgaon Urban Co-op Bk</t>
  </si>
  <si>
    <t>MDUCB Panaji</t>
  </si>
  <si>
    <t>MDUCB St. Andre</t>
  </si>
  <si>
    <t>Bicholim Urban Co-op Bk</t>
  </si>
  <si>
    <t>BUCB Panaji City</t>
  </si>
  <si>
    <t>BUCB Patto Plaza Panaji</t>
  </si>
  <si>
    <t>Citizen Co-op Bank Ltd</t>
  </si>
  <si>
    <t>HDFC Bank</t>
  </si>
  <si>
    <t>Patto Plaza</t>
  </si>
  <si>
    <t>Chorao</t>
  </si>
  <si>
    <t>St. Cruz</t>
  </si>
  <si>
    <t>ICICI Bank, Panaji Branch</t>
  </si>
  <si>
    <t>Panaji18th June Rd</t>
  </si>
  <si>
    <t>Patto</t>
  </si>
  <si>
    <t>SBT, Panaji Branch</t>
  </si>
  <si>
    <t>DCB, Panaji Branch</t>
  </si>
  <si>
    <t>Indus Ind Bank, Panaji Br.</t>
  </si>
  <si>
    <t>J &amp; K Bank Panaji Branch</t>
  </si>
  <si>
    <t>Axis Bank, Panaji Branch</t>
  </si>
  <si>
    <t>Dhanlaxmi</t>
  </si>
  <si>
    <t>Saraswat Coop Bank Ltd</t>
  </si>
  <si>
    <t>Panaji Branch</t>
  </si>
  <si>
    <t>Shamrao Panaji</t>
  </si>
  <si>
    <t>Konkan Mercantile Panaji</t>
  </si>
  <si>
    <t>NKGSB Panaji</t>
  </si>
  <si>
    <t>Yes Panaji</t>
  </si>
  <si>
    <t>PMC Caranzalem</t>
  </si>
  <si>
    <t>WOMENS COOP, Panaji</t>
  </si>
  <si>
    <t>Kotak Mahindra Bank, Panaji</t>
  </si>
  <si>
    <t>Bharati Mahila Bank</t>
  </si>
  <si>
    <t>State Bank Of Hyderabad</t>
  </si>
  <si>
    <t>Allahabad Bank</t>
  </si>
  <si>
    <t>Karur Vysya Bank</t>
  </si>
  <si>
    <t>Ratnakar Bank</t>
  </si>
  <si>
    <t>TISWADI GRAND TOTAL (CURRENT YEAR)</t>
  </si>
  <si>
    <t>BLOCK : BARDEZ</t>
  </si>
  <si>
    <t>BARDEZ 1</t>
  </si>
  <si>
    <t>BLOCKWISE  ANNUAL CREDIT PLAN 2015-16</t>
  </si>
  <si>
    <t>SBI Mapusa</t>
  </si>
  <si>
    <t>SBI Aldona</t>
  </si>
  <si>
    <t>SBI ADB Mapusa</t>
  </si>
  <si>
    <t>SBI Badem</t>
  </si>
  <si>
    <t>SBI Calangute</t>
  </si>
  <si>
    <t>SBI Fort Aguada</t>
  </si>
  <si>
    <t>SBI Reis Magos</t>
  </si>
  <si>
    <t>SBI  Siolim</t>
  </si>
  <si>
    <t>SBI Tivim</t>
  </si>
  <si>
    <t>SBI Per Porvorim</t>
  </si>
  <si>
    <t>Vidhan Bhavan Branch</t>
  </si>
  <si>
    <t>Midtown Mapuca</t>
  </si>
  <si>
    <t>Saligao</t>
  </si>
  <si>
    <t>Allahabad Bk Mapuca</t>
  </si>
  <si>
    <t>BOB Mapuca</t>
  </si>
  <si>
    <t>BOB Aldona</t>
  </si>
  <si>
    <t>BOB Anjuna</t>
  </si>
  <si>
    <t>BOB Calangute</t>
  </si>
  <si>
    <t>BOB Camurlim</t>
  </si>
  <si>
    <t>BOB Colvale</t>
  </si>
  <si>
    <t>BOB Guirim Sangolda</t>
  </si>
  <si>
    <t>BOB, Pilerne</t>
  </si>
  <si>
    <t>BOB Moira</t>
  </si>
  <si>
    <t>BOI Mapuca</t>
  </si>
  <si>
    <t>BOI Nachinola</t>
  </si>
  <si>
    <t>BOI Nerul</t>
  </si>
  <si>
    <t>BOI Porvorim</t>
  </si>
  <si>
    <t>BOI Saligao</t>
  </si>
  <si>
    <t>BOI  Ganeshpuri</t>
  </si>
  <si>
    <t>Siolim</t>
  </si>
  <si>
    <t>BOM Mapusa</t>
  </si>
  <si>
    <t>BOM Porvorim</t>
  </si>
  <si>
    <t>Canara Bk Mapusa(NSA)</t>
  </si>
  <si>
    <t>Canara Bk Aldona</t>
  </si>
  <si>
    <t>Canara Bk Assonora</t>
  </si>
  <si>
    <t>Canara Bk Candolim</t>
  </si>
  <si>
    <t>Canara Bk Confraria</t>
  </si>
  <si>
    <t>Canara Bk Karaswada</t>
  </si>
  <si>
    <t>PARRA</t>
  </si>
  <si>
    <t>BETIM</t>
  </si>
  <si>
    <t>Canara Bk Porvorim (NSA)</t>
  </si>
  <si>
    <t>CBI Mapuca</t>
  </si>
  <si>
    <t>CBI  Alto Porvorim</t>
  </si>
  <si>
    <t>CBI Calangute</t>
  </si>
  <si>
    <t>CBI St Xavier Mapusa</t>
  </si>
  <si>
    <t>CBI  Assagao</t>
  </si>
  <si>
    <t>Corp. Bk Mapuca</t>
  </si>
  <si>
    <t>Corp. Bk Per Bk Map</t>
  </si>
  <si>
    <t>Corp. Bk Anjuna</t>
  </si>
  <si>
    <t>Corp. Bk Bastora</t>
  </si>
  <si>
    <t>Corp. Bk Britona</t>
  </si>
  <si>
    <t>Corp. Bk Calangute</t>
  </si>
  <si>
    <t>Corp. Bk Chapora</t>
  </si>
  <si>
    <t>Corp. Bk Nagao</t>
  </si>
  <si>
    <t>Corp. Bk Oxel (Siolim)</t>
  </si>
  <si>
    <t>Corp. Bk Pilerne</t>
  </si>
  <si>
    <t>Corp. Bk Revora</t>
  </si>
  <si>
    <t>Corp. Bk Siolim</t>
  </si>
  <si>
    <t>Corp Bk Porvorim</t>
  </si>
  <si>
    <t>Corp. Bk Socorro</t>
  </si>
  <si>
    <t>Dena Bank Mapuca</t>
  </si>
  <si>
    <t>Dena Bank Aldona</t>
  </si>
  <si>
    <t>Dena Bank Arpora</t>
  </si>
  <si>
    <t>Dena Bank Cansa ( Tivim)</t>
  </si>
  <si>
    <t>Dena Bank Parra</t>
  </si>
  <si>
    <t>Dena Bank Pomburpa</t>
  </si>
  <si>
    <t>Dena Bank 'Tivim</t>
  </si>
  <si>
    <t>Porvorim</t>
  </si>
  <si>
    <t>Dena Bank Verem</t>
  </si>
  <si>
    <t>Indian Bank Mapuca</t>
  </si>
  <si>
    <t>IOB Corjuem</t>
  </si>
  <si>
    <t>IOB Porvorim</t>
  </si>
  <si>
    <t>IOB Verla Canca</t>
  </si>
  <si>
    <t>IOB Calangute</t>
  </si>
  <si>
    <t>IOB  Mapuca</t>
  </si>
  <si>
    <t>Karnataka Bk Alto Betim</t>
  </si>
  <si>
    <t>Mapusa</t>
  </si>
  <si>
    <t>Mapuca</t>
  </si>
  <si>
    <t>SOCCORRO</t>
  </si>
  <si>
    <t>Syndicate Bank Mapuca</t>
  </si>
  <si>
    <t>Syndicate Bank Betim</t>
  </si>
  <si>
    <t>Synd.Bk Salvador de Munde</t>
  </si>
  <si>
    <t>Porvorim Br</t>
  </si>
  <si>
    <t>Arpora</t>
  </si>
  <si>
    <t>Carona Br</t>
  </si>
  <si>
    <t>UBI Mapuca (SA)</t>
  </si>
  <si>
    <t>UBI Mapuca (NSA)</t>
  </si>
  <si>
    <t>UBI Sangolda</t>
  </si>
  <si>
    <t>UBI Calangute</t>
  </si>
  <si>
    <t>UBI Ucasaim</t>
  </si>
  <si>
    <t>Dhuler</t>
  </si>
  <si>
    <t>GSCB I.D.C</t>
  </si>
  <si>
    <t>GSCB Mapuca</t>
  </si>
  <si>
    <t>GSCB Mapuca Market</t>
  </si>
  <si>
    <t>GSCB Calangute</t>
  </si>
  <si>
    <t>GSCB Moira</t>
  </si>
  <si>
    <t>GSCB Pirna</t>
  </si>
  <si>
    <t>GSCB Verem</t>
  </si>
  <si>
    <t>GUCB Mapuca</t>
  </si>
  <si>
    <t>GUCB Porvorim</t>
  </si>
  <si>
    <t>Mapuca Urban Co-op Bank</t>
  </si>
  <si>
    <t>MUCB Mapuca City</t>
  </si>
  <si>
    <t>MUCB Mapuca HO</t>
  </si>
  <si>
    <t>MUCB Aldona</t>
  </si>
  <si>
    <t>MUCB Anjuna</t>
  </si>
  <si>
    <t>MUCB Calangute</t>
  </si>
  <si>
    <t>MUCB Penha de Franca</t>
  </si>
  <si>
    <t>MUCB Reis Magos</t>
  </si>
  <si>
    <t>MUCB Siolim</t>
  </si>
  <si>
    <t>Bicholim Urban Co-op Bank</t>
  </si>
  <si>
    <t>BUCB Mapuca</t>
  </si>
  <si>
    <t>State Bank of Patiala</t>
  </si>
  <si>
    <t>SBP Mapuca</t>
  </si>
  <si>
    <t>Ratnakar Bank Mapuca</t>
  </si>
  <si>
    <t>Calangute</t>
  </si>
  <si>
    <t>Andhra Bank Mapuca</t>
  </si>
  <si>
    <t>Oriental Bank of Comm</t>
  </si>
  <si>
    <t>Mapuca Branch</t>
  </si>
  <si>
    <t>ICICI Bank Ltd</t>
  </si>
  <si>
    <t>Pilerne</t>
  </si>
  <si>
    <t>HDFC Bank Ltd</t>
  </si>
  <si>
    <t>Mapuca (Centurion Bk)</t>
  </si>
  <si>
    <t>Calangute Branch</t>
  </si>
  <si>
    <t>Mapusa Mkt</t>
  </si>
  <si>
    <t>Candolim</t>
  </si>
  <si>
    <t>Anjuna</t>
  </si>
  <si>
    <t>Canca</t>
  </si>
  <si>
    <t>ARAMBOL</t>
  </si>
  <si>
    <t>ASSONORA</t>
  </si>
  <si>
    <t>CARAMBOLIM</t>
  </si>
  <si>
    <t>COLVALE</t>
  </si>
  <si>
    <t>SIRCAIM</t>
  </si>
  <si>
    <t>VEREM</t>
  </si>
  <si>
    <t>Aldona</t>
  </si>
  <si>
    <t>Development Credit Bank</t>
  </si>
  <si>
    <t>MAPUCA Branch</t>
  </si>
  <si>
    <t>Mapuca branch</t>
  </si>
  <si>
    <t>Women's Coop Bank Ltd</t>
  </si>
  <si>
    <t>IDBI, Mapusa</t>
  </si>
  <si>
    <t>total</t>
  </si>
  <si>
    <t>Axis Mapusa</t>
  </si>
  <si>
    <t>AxisCandolim</t>
  </si>
  <si>
    <t>ING Vysya, Mapusa</t>
  </si>
  <si>
    <t>TJSB Mapusa</t>
  </si>
  <si>
    <t>PMC BANK</t>
  </si>
  <si>
    <t>Yes Mapusa</t>
  </si>
  <si>
    <t>Yes Calangute</t>
  </si>
  <si>
    <t>NKGSB Mapusa</t>
  </si>
  <si>
    <t>SIB Mapusa</t>
  </si>
  <si>
    <t>IndusInd Porvorim</t>
  </si>
  <si>
    <t>APNA SAHAKARI, MAPUSA</t>
  </si>
  <si>
    <t>BARDEZ TOTAL</t>
  </si>
  <si>
    <t>CHECK TOTAL</t>
  </si>
  <si>
    <t>BICHOLIM 1</t>
  </si>
  <si>
    <t>Bicholim (NSA)</t>
  </si>
  <si>
    <t>Bicholim (SA)</t>
  </si>
  <si>
    <t>Latambarcem</t>
  </si>
  <si>
    <t>Velguem</t>
  </si>
  <si>
    <t>Sanquelim</t>
  </si>
  <si>
    <t>BOI Bicholim (NSA)</t>
  </si>
  <si>
    <t>BOI Bicholim (SA)</t>
  </si>
  <si>
    <t>BOI Mayem</t>
  </si>
  <si>
    <t>BOI Sanquelim</t>
  </si>
  <si>
    <t>BOB Bicholim</t>
  </si>
  <si>
    <t>Canara Bank Bicholim</t>
  </si>
  <si>
    <t>Canara Bank Sanquelim</t>
  </si>
  <si>
    <t>CBI Mencurem</t>
  </si>
  <si>
    <t>Corp. Bk. Bicholim</t>
  </si>
  <si>
    <t>MULGAO</t>
  </si>
  <si>
    <t>Syndicate Bank Pale</t>
  </si>
  <si>
    <t>saraSWAT BBICHOLIM</t>
  </si>
  <si>
    <t>MUCB Sanquelim</t>
  </si>
  <si>
    <t>MUCB Velguem</t>
  </si>
  <si>
    <t>GSCB Amona</t>
  </si>
  <si>
    <t>GSCB Bicholim (NSA)</t>
  </si>
  <si>
    <t>GSCB Bicholim (SA)</t>
  </si>
  <si>
    <t>GSCB Pale</t>
  </si>
  <si>
    <t>GSCB Sanquelim (SA)</t>
  </si>
  <si>
    <t>BUCB HO Bicholim</t>
  </si>
  <si>
    <t>BUCB Market Br. Bicholim</t>
  </si>
  <si>
    <t>Saraswat, Bicholim</t>
  </si>
  <si>
    <t>ICICI Bicholim</t>
  </si>
  <si>
    <t>BOM, Carapur</t>
  </si>
  <si>
    <t>HDFC, Sanquelim</t>
  </si>
  <si>
    <t>PALIEM</t>
  </si>
  <si>
    <t>SAL</t>
  </si>
  <si>
    <t>HDFC Bicholim</t>
  </si>
  <si>
    <t>SARASWAT BBICHOLIM</t>
  </si>
  <si>
    <t>RATNAKAR, SHIRIGAO</t>
  </si>
  <si>
    <t>BICHOLIM GRAND TOTAL</t>
  </si>
  <si>
    <t xml:space="preserve"> '000</t>
  </si>
  <si>
    <t>BLOCK : PERNEM</t>
  </si>
  <si>
    <t>SBI Arambol</t>
  </si>
  <si>
    <t>SBI Ibrampur</t>
  </si>
  <si>
    <t>SBI Parcem</t>
  </si>
  <si>
    <t>MORJIM</t>
  </si>
  <si>
    <t>SBI Pernem</t>
  </si>
  <si>
    <t>BOM  Pernem</t>
  </si>
  <si>
    <t>BOI Arambol</t>
  </si>
  <si>
    <t>BOI Mandrem</t>
  </si>
  <si>
    <t>BOB Morjim</t>
  </si>
  <si>
    <t>Canara Bank Mandrem</t>
  </si>
  <si>
    <t>CORGAO</t>
  </si>
  <si>
    <t>CBI Mopa</t>
  </si>
  <si>
    <t>CBI  Pernem</t>
  </si>
  <si>
    <t>Corp. Bk. Dhargal (Ozorim)</t>
  </si>
  <si>
    <t>INDIAN OVERSEAS BANK, CHOPDEM</t>
  </si>
  <si>
    <t>HDFC, MANDREM</t>
  </si>
  <si>
    <t>HDFC Bank,Pernem</t>
  </si>
  <si>
    <t>ICICI, MANDREM</t>
  </si>
  <si>
    <t>GSCB Korgao</t>
  </si>
  <si>
    <t>GSCB Mandrem</t>
  </si>
  <si>
    <t>GSCB Nagzer</t>
  </si>
  <si>
    <t>GSCB Patradevi</t>
  </si>
  <si>
    <t>GSCB Pernem (SA)</t>
  </si>
  <si>
    <t>GSCB Pernem (NSA)</t>
  </si>
  <si>
    <t>GSCB Arambol</t>
  </si>
  <si>
    <t>MUCB Mandrem</t>
  </si>
  <si>
    <t>BUCB Pernem</t>
  </si>
  <si>
    <t>PERNEM GRAND TOTAL</t>
  </si>
  <si>
    <r>
      <t xml:space="preserve">`  </t>
    </r>
    <r>
      <rPr>
        <sz val="10"/>
        <color indexed="8"/>
        <rFont val="Arial"/>
        <family val="2"/>
      </rPr>
      <t xml:space="preserve">  '000</t>
    </r>
  </si>
  <si>
    <t>BLOCK : SATTARI</t>
  </si>
  <si>
    <t>SBI ADB Usgao</t>
  </si>
  <si>
    <t>SBI Guleli</t>
  </si>
  <si>
    <t>SBI Honda Sattari</t>
  </si>
  <si>
    <t>SBI Querim</t>
  </si>
  <si>
    <t>SBI Thane</t>
  </si>
  <si>
    <t>SBI Valpoi</t>
  </si>
  <si>
    <t>Bank Of India</t>
  </si>
  <si>
    <t>Bank Of India, Honda</t>
  </si>
  <si>
    <t>CANARA, VALPOI</t>
  </si>
  <si>
    <t>CORPORATION, VALPOI</t>
  </si>
  <si>
    <t>CBI Valpoi</t>
  </si>
  <si>
    <t>GSCB Valpoi (SA)</t>
  </si>
  <si>
    <t>GSCB Valpoi (NSA)</t>
  </si>
  <si>
    <t>GSCB Gawane</t>
  </si>
  <si>
    <t>GSCB Honda</t>
  </si>
  <si>
    <t>GSCB Paryem</t>
  </si>
  <si>
    <t>HDFC</t>
  </si>
  <si>
    <t>Valpoi</t>
  </si>
  <si>
    <t>SATTARI GRAND TOTAL</t>
  </si>
  <si>
    <t>BANKWISE  ANNUAL CREDIT PLAN  2016-17</t>
  </si>
  <si>
    <t>BANKWISE  ANNUAL CREDIT PLAN  2015-16</t>
  </si>
  <si>
    <t>STATE BANK OF INDIA</t>
  </si>
  <si>
    <t>STATE BANK OF MYSORE</t>
  </si>
  <si>
    <t>STATE BANK OF PATIALA</t>
  </si>
  <si>
    <t>STATE BANK OF TRAVANCORE</t>
  </si>
  <si>
    <t>STATE BANK OF HYDERABAD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</si>
  <si>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</si>
  <si>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</si>
  <si>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</si>
  <si>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</si>
  <si>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</si>
  <si>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</si>
  <si>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</si>
  <si>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</si>
  <si>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</si>
  <si>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</si>
  <si>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</si>
  <si>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</si>
  <si>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&amp; SIND BANK</t>
  </si>
  <si>
    <t>PUNJAB NATIONAL BANK</t>
  </si>
  <si>
    <t>SYNDICATE BANK</t>
  </si>
  <si>
    <t>UCO BANK</t>
  </si>
  <si>
    <t>UNION BANK OF INDIA</t>
  </si>
  <si>
    <t>UNITED BANK OF INDIA</t>
  </si>
  <si>
    <t>VIJAYA BANK</t>
  </si>
  <si>
    <t>CATHOLIC SYRIAN BANK</t>
  </si>
  <si>
    <t>DEVELOPMENT CREDIT BANK</t>
  </si>
  <si>
    <t>FEDERAL BANK</t>
  </si>
  <si>
    <t>HDFC BANK</t>
  </si>
  <si>
    <t>ICICI BANK</t>
  </si>
  <si>
    <t>IDBI BANK</t>
  </si>
  <si>
    <t>INDUSIND BANK</t>
  </si>
  <si>
    <t>ING VYSYA BANK</t>
  </si>
  <si>
    <t>JAMMU &amp; KASHMIR</t>
  </si>
  <si>
    <t>KARNATAKA BANK</t>
  </si>
  <si>
    <t>RATNAKAR BANK</t>
  </si>
  <si>
    <t>SOUTH INDIAN BANK</t>
  </si>
  <si>
    <t>AXIS BANK</t>
  </si>
  <si>
    <t>YES BANK</t>
  </si>
  <si>
    <t>BICHOLIM URBAN CO-OP BANK</t>
  </si>
  <si>
    <t>CITIZEN CO-OP BANK</t>
  </si>
  <si>
    <t>GOA STATE CO-OP BANK</t>
  </si>
  <si>
    <t>GOA URBAN CO-OP BANK</t>
  </si>
  <si>
    <t>MADGAUM URBAN CO-OP BANK</t>
  </si>
  <si>
    <t>MAPUSA URBAN CO-OP BANK</t>
  </si>
  <si>
    <t>SARASWAT CO-OP BANK</t>
  </si>
  <si>
    <t>WOMEN CO-OP BANK</t>
  </si>
  <si>
    <t>DHANLAXMI</t>
  </si>
  <si>
    <t>KARUR VYSYA BANK</t>
  </si>
  <si>
    <t>NKGSB</t>
  </si>
  <si>
    <t>PUNJAB &amp; MAHARASHTRA CO-OP BANK</t>
  </si>
  <si>
    <t>KONKAN MERCANTILE BANK</t>
  </si>
  <si>
    <t>TJSB BANK</t>
  </si>
  <si>
    <t>KOTAK</t>
  </si>
  <si>
    <t>APNA SAHAKARI BANK</t>
  </si>
  <si>
    <t>BHARATIYA MAHILA BANK</t>
  </si>
  <si>
    <t>SHAMRAO VITHAL CO-OP BANK</t>
  </si>
  <si>
    <t>GRAND TOTAL</t>
  </si>
  <si>
    <t xml:space="preserve">Location </t>
  </si>
  <si>
    <t>SU</t>
  </si>
  <si>
    <t>R</t>
  </si>
  <si>
    <t xml:space="preserve">SBI ADB Mapusa </t>
  </si>
  <si>
    <t xml:space="preserve">Sanquelim </t>
  </si>
  <si>
    <t>SBI TOTAL</t>
  </si>
  <si>
    <t>MAPUSA</t>
  </si>
  <si>
    <t>PANAJI</t>
  </si>
  <si>
    <t xml:space="preserve">BOI Bicholim (SA) </t>
  </si>
  <si>
    <t xml:space="preserve">CBI Valpoi </t>
  </si>
  <si>
    <t>Syndicate Bank Sanquelim</t>
  </si>
  <si>
    <t xml:space="preserve">Dhuler </t>
  </si>
  <si>
    <t>FEDERAL</t>
  </si>
  <si>
    <t>Bardez</t>
  </si>
  <si>
    <t>Bicholim</t>
  </si>
  <si>
    <t>Sattari</t>
  </si>
  <si>
    <t>Pernem</t>
  </si>
  <si>
    <t>INDUS IND BANK</t>
  </si>
  <si>
    <t>JAMMU &amp; KASHMIR BANK</t>
  </si>
  <si>
    <t xml:space="preserve">GSCB Arambol </t>
  </si>
  <si>
    <t>KOTAK Mahindra Bank</t>
  </si>
  <si>
    <t>BMB, Panaji</t>
  </si>
  <si>
    <r>
      <t xml:space="preserve">`  </t>
    </r>
    <r>
      <rPr>
        <sz val="10"/>
        <rFont val="Arial"/>
        <family val="2"/>
      </rPr>
      <t xml:space="preserve">  '000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</si>
</sst>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;[Red]\-[$$-409]#,##0.00"/>
  </numFmts>
  <fonts count="43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Rockwell"/>
      <family val="1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.05"/>
      <color indexed="8"/>
      <name val="Arial"/>
      <family val="2"/>
    </font>
    <font>
      <sz val="11"/>
      <color indexed="25"/>
      <name val="Arial"/>
      <family val="2"/>
    </font>
    <font>
      <sz val="14"/>
      <color indexed="8"/>
      <name val="Calibri"/>
      <family val="2"/>
    </font>
    <font>
      <sz val="11.05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.05"/>
      <name val="Arial"/>
      <family val="2"/>
    </font>
    <font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4"/>
      <color indexed="10"/>
      <name val="Calibri"/>
      <family val="2"/>
    </font>
    <font>
      <sz val="14"/>
      <color indexed="62"/>
      <name val="Calibri"/>
      <family val="2"/>
    </font>
    <font>
      <sz val="14"/>
      <color rgb="FFFF0000"/>
      <name val="Calibri"/>
      <family val="2"/>
    </font>
    <font>
      <sz val="14"/>
      <color rgb="FF7030A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8" fillId="4" borderId="0">
      <alignment/>
      <protection/>
    </xf>
    <xf numFmtId="0" fontId="9" fillId="0" borderId="0">
      <alignment horizontal="center"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9" fillId="0" borderId="0">
      <alignment horizontal="center" textRotation="90"/>
      <protection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23" borderId="7">
      <alignment/>
      <protection/>
    </xf>
    <xf numFmtId="0" fontId="17" fillId="20" borderId="8" applyNumberFormat="0" applyAlignment="0" applyProtection="0"/>
    <xf numFmtId="9" fontId="1" fillId="0" borderId="0" applyFill="0" applyBorder="0" applyAlignment="0" applyProtection="0"/>
    <xf numFmtId="0" fontId="18" fillId="0" borderId="0">
      <alignment/>
      <protection/>
    </xf>
    <xf numFmtId="164" fontId="18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22" borderId="0" xfId="0" applyFill="1" applyAlignment="1">
      <alignment/>
    </xf>
    <xf numFmtId="0" fontId="0" fillId="7" borderId="0" xfId="0" applyFill="1" applyAlignment="1">
      <alignment/>
    </xf>
    <xf numFmtId="0" fontId="0" fillId="0" borderId="10" xfId="0" applyFont="1" applyBorder="1" applyAlignment="1">
      <alignment/>
    </xf>
    <xf numFmtId="0" fontId="0" fillId="22" borderId="0" xfId="0" applyFont="1" applyFill="1" applyAlignment="1">
      <alignment/>
    </xf>
    <xf numFmtId="0" fontId="0" fillId="0" borderId="0" xfId="0" applyFont="1" applyAlignment="1">
      <alignment/>
    </xf>
    <xf numFmtId="0" fontId="0" fillId="7" borderId="10" xfId="0" applyFill="1" applyBorder="1" applyAlignment="1">
      <alignment/>
    </xf>
    <xf numFmtId="0" fontId="23" fillId="0" borderId="10" xfId="0" applyFont="1" applyBorder="1" applyAlignment="1">
      <alignment/>
    </xf>
    <xf numFmtId="1" fontId="0" fillId="24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1" fontId="0" fillId="7" borderId="10" xfId="0" applyNumberFormat="1" applyFill="1" applyBorder="1" applyAlignment="1">
      <alignment/>
    </xf>
    <xf numFmtId="0" fontId="0" fillId="24" borderId="0" xfId="0" applyFill="1" applyAlignment="1">
      <alignment/>
    </xf>
    <xf numFmtId="0" fontId="0" fillId="6" borderId="0" xfId="0" applyFill="1" applyAlignment="1">
      <alignment/>
    </xf>
    <xf numFmtId="1" fontId="0" fillId="0" borderId="0" xfId="0" applyNumberFormat="1" applyAlignment="1">
      <alignment/>
    </xf>
    <xf numFmtId="0" fontId="23" fillId="22" borderId="10" xfId="0" applyFont="1" applyFill="1" applyBorder="1" applyAlignment="1">
      <alignment/>
    </xf>
    <xf numFmtId="2" fontId="23" fillId="7" borderId="10" xfId="0" applyNumberFormat="1" applyFont="1" applyFill="1" applyBorder="1" applyAlignment="1">
      <alignment/>
    </xf>
    <xf numFmtId="0" fontId="16" fillId="0" borderId="10" xfId="0" applyFont="1" applyBorder="1" applyAlignment="1">
      <alignment/>
    </xf>
    <xf numFmtId="0" fontId="24" fillId="22" borderId="10" xfId="0" applyFont="1" applyFill="1" applyBorder="1" applyAlignment="1">
      <alignment/>
    </xf>
    <xf numFmtId="2" fontId="25" fillId="7" borderId="10" xfId="0" applyNumberFormat="1" applyFont="1" applyFill="1" applyBorder="1" applyAlignment="1">
      <alignment/>
    </xf>
    <xf numFmtId="0" fontId="26" fillId="0" borderId="10" xfId="0" applyFont="1" applyBorder="1" applyAlignment="1">
      <alignment/>
    </xf>
    <xf numFmtId="0" fontId="0" fillId="22" borderId="0" xfId="0" applyFont="1" applyFill="1" applyBorder="1" applyAlignment="1">
      <alignment/>
    </xf>
    <xf numFmtId="2" fontId="0" fillId="7" borderId="10" xfId="0" applyNumberFormat="1" applyFont="1" applyFill="1" applyBorder="1" applyAlignment="1">
      <alignment horizontal="center"/>
    </xf>
    <xf numFmtId="2" fontId="26" fillId="7" borderId="1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0" fontId="16" fillId="22" borderId="0" xfId="0" applyFont="1" applyFill="1" applyBorder="1" applyAlignment="1">
      <alignment/>
    </xf>
    <xf numFmtId="2" fontId="16" fillId="7" borderId="10" xfId="0" applyNumberFormat="1" applyFont="1" applyFill="1" applyBorder="1" applyAlignment="1">
      <alignment horizontal="center"/>
    </xf>
    <xf numFmtId="0" fontId="24" fillId="22" borderId="0" xfId="0" applyFont="1" applyFill="1" applyBorder="1" applyAlignment="1">
      <alignment/>
    </xf>
    <xf numFmtId="2" fontId="22" fillId="7" borderId="10" xfId="0" applyNumberFormat="1" applyFont="1" applyFill="1" applyBorder="1" applyAlignment="1">
      <alignment horizontal="center"/>
    </xf>
    <xf numFmtId="0" fontId="16" fillId="7" borderId="10" xfId="0" applyFont="1" applyFill="1" applyBorder="1" applyAlignment="1">
      <alignment/>
    </xf>
    <xf numFmtId="1" fontId="16" fillId="6" borderId="10" xfId="0" applyNumberFormat="1" applyFont="1" applyFill="1" applyBorder="1" applyAlignment="1">
      <alignment/>
    </xf>
    <xf numFmtId="1" fontId="0" fillId="6" borderId="10" xfId="0" applyNumberFormat="1" applyFill="1" applyBorder="1" applyAlignment="1">
      <alignment/>
    </xf>
    <xf numFmtId="1" fontId="16" fillId="7" borderId="10" xfId="0" applyNumberFormat="1" applyFont="1" applyFill="1" applyBorder="1" applyAlignment="1">
      <alignment/>
    </xf>
    <xf numFmtId="1" fontId="16" fillId="22" borderId="10" xfId="0" applyNumberFormat="1" applyFont="1" applyFill="1" applyBorder="1" applyAlignment="1">
      <alignment/>
    </xf>
    <xf numFmtId="0" fontId="0" fillId="22" borderId="10" xfId="0" applyFont="1" applyFill="1" applyBorder="1" applyAlignment="1">
      <alignment/>
    </xf>
    <xf numFmtId="1" fontId="0" fillId="22" borderId="10" xfId="0" applyNumberFormat="1" applyFill="1" applyBorder="1" applyAlignment="1">
      <alignment/>
    </xf>
    <xf numFmtId="1" fontId="0" fillId="22" borderId="0" xfId="0" applyNumberFormat="1" applyFill="1" applyAlignment="1">
      <alignment/>
    </xf>
    <xf numFmtId="0" fontId="0" fillId="6" borderId="10" xfId="0" applyFill="1" applyBorder="1" applyAlignment="1">
      <alignment/>
    </xf>
    <xf numFmtId="1" fontId="0" fillId="6" borderId="0" xfId="0" applyNumberFormat="1" applyFill="1" applyAlignment="1">
      <alignment/>
    </xf>
    <xf numFmtId="0" fontId="0" fillId="4" borderId="10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1" fontId="0" fillId="4" borderId="10" xfId="0" applyNumberFormat="1" applyFill="1" applyBorder="1" applyAlignment="1">
      <alignment vertical="center"/>
    </xf>
    <xf numFmtId="1" fontId="0" fillId="4" borderId="0" xfId="0" applyNumberFormat="1" applyFill="1" applyAlignment="1">
      <alignment vertical="center"/>
    </xf>
    <xf numFmtId="1" fontId="0" fillId="7" borderId="0" xfId="0" applyNumberFormat="1" applyFill="1" applyAlignment="1">
      <alignment/>
    </xf>
    <xf numFmtId="0" fontId="0" fillId="25" borderId="0" xfId="0" applyFill="1" applyAlignment="1">
      <alignment/>
    </xf>
    <xf numFmtId="1" fontId="0" fillId="25" borderId="0" xfId="0" applyNumberFormat="1" applyFill="1" applyAlignment="1">
      <alignment/>
    </xf>
    <xf numFmtId="2" fontId="0" fillId="7" borderId="10" xfId="0" applyNumberFormat="1" applyFont="1" applyFill="1" applyBorder="1" applyAlignment="1">
      <alignment/>
    </xf>
    <xf numFmtId="2" fontId="22" fillId="7" borderId="1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 vertical="center"/>
    </xf>
    <xf numFmtId="2" fontId="26" fillId="7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26" borderId="0" xfId="0" applyFill="1" applyAlignment="1">
      <alignment/>
    </xf>
    <xf numFmtId="1" fontId="0" fillId="0" borderId="0" xfId="0" applyNumberFormat="1" applyFill="1" applyAlignment="1">
      <alignment/>
    </xf>
    <xf numFmtId="0" fontId="0" fillId="27" borderId="0" xfId="0" applyFill="1" applyAlignment="1">
      <alignment/>
    </xf>
    <xf numFmtId="2" fontId="0" fillId="22" borderId="0" xfId="0" applyNumberFormat="1" applyFill="1" applyAlignment="1">
      <alignment/>
    </xf>
    <xf numFmtId="1" fontId="0" fillId="28" borderId="10" xfId="0" applyNumberFormat="1" applyFill="1" applyBorder="1" applyAlignment="1">
      <alignment/>
    </xf>
    <xf numFmtId="0" fontId="0" fillId="28" borderId="0" xfId="0" applyFill="1" applyAlignment="1">
      <alignment/>
    </xf>
    <xf numFmtId="0" fontId="27" fillId="0" borderId="0" xfId="0" applyFont="1" applyAlignment="1">
      <alignment/>
    </xf>
    <xf numFmtId="0" fontId="27" fillId="7" borderId="0" xfId="0" applyFont="1" applyFill="1" applyAlignment="1">
      <alignment/>
    </xf>
    <xf numFmtId="1" fontId="0" fillId="2" borderId="10" xfId="0" applyNumberFormat="1" applyFill="1" applyBorder="1" applyAlignment="1">
      <alignment/>
    </xf>
    <xf numFmtId="0" fontId="0" fillId="2" borderId="0" xfId="0" applyFill="1" applyAlignment="1">
      <alignment/>
    </xf>
    <xf numFmtId="0" fontId="28" fillId="0" borderId="0" xfId="0" applyFont="1" applyFill="1" applyAlignment="1">
      <alignment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/>
    </xf>
    <xf numFmtId="1" fontId="28" fillId="0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/>
    </xf>
    <xf numFmtId="1" fontId="28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31" fillId="0" borderId="10" xfId="0" applyFont="1" applyFill="1" applyBorder="1" applyAlignment="1">
      <alignment/>
    </xf>
    <xf numFmtId="1" fontId="31" fillId="0" borderId="10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0" fontId="28" fillId="29" borderId="0" xfId="0" applyFont="1" applyFill="1" applyAlignment="1">
      <alignment/>
    </xf>
    <xf numFmtId="0" fontId="28" fillId="29" borderId="10" xfId="0" applyFont="1" applyFill="1" applyBorder="1" applyAlignment="1">
      <alignment/>
    </xf>
    <xf numFmtId="1" fontId="28" fillId="29" borderId="10" xfId="0" applyNumberFormat="1" applyFont="1" applyFill="1" applyBorder="1" applyAlignment="1">
      <alignment/>
    </xf>
    <xf numFmtId="1" fontId="31" fillId="29" borderId="10" xfId="0" applyNumberFormat="1" applyFont="1" applyFill="1" applyBorder="1" applyAlignment="1">
      <alignment/>
    </xf>
    <xf numFmtId="0" fontId="41" fillId="29" borderId="0" xfId="0" applyFont="1" applyFill="1" applyAlignment="1">
      <alignment/>
    </xf>
    <xf numFmtId="0" fontId="41" fillId="29" borderId="10" xfId="0" applyFont="1" applyFill="1" applyBorder="1" applyAlignment="1">
      <alignment/>
    </xf>
    <xf numFmtId="1" fontId="41" fillId="29" borderId="10" xfId="0" applyNumberFormat="1" applyFont="1" applyFill="1" applyBorder="1" applyAlignment="1">
      <alignment/>
    </xf>
    <xf numFmtId="0" fontId="41" fillId="0" borderId="0" xfId="0" applyFont="1" applyFill="1" applyAlignment="1">
      <alignment/>
    </xf>
    <xf numFmtId="1" fontId="41" fillId="0" borderId="10" xfId="0" applyNumberFormat="1" applyFont="1" applyFill="1" applyBorder="1" applyAlignment="1">
      <alignment/>
    </xf>
    <xf numFmtId="1" fontId="41" fillId="0" borderId="13" xfId="0" applyNumberFormat="1" applyFont="1" applyFill="1" applyBorder="1" applyAlignment="1">
      <alignment/>
    </xf>
    <xf numFmtId="0" fontId="42" fillId="29" borderId="0" xfId="0" applyFont="1" applyFill="1" applyAlignment="1">
      <alignment/>
    </xf>
    <xf numFmtId="1" fontId="42" fillId="29" borderId="10" xfId="0" applyNumberFormat="1" applyFont="1" applyFill="1" applyBorder="1" applyAlignment="1">
      <alignment/>
    </xf>
    <xf numFmtId="0" fontId="42" fillId="0" borderId="0" xfId="0" applyFont="1" applyFill="1" applyAlignment="1">
      <alignment/>
    </xf>
    <xf numFmtId="1" fontId="42" fillId="0" borderId="10" xfId="0" applyNumberFormat="1" applyFont="1" applyFill="1" applyBorder="1" applyAlignment="1">
      <alignment/>
    </xf>
    <xf numFmtId="1" fontId="28" fillId="0" borderId="10" xfId="0" applyNumberFormat="1" applyFont="1" applyFill="1" applyBorder="1" applyAlignment="1">
      <alignment wrapText="1"/>
    </xf>
    <xf numFmtId="0" fontId="23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0" fontId="32" fillId="0" borderId="10" xfId="0" applyFont="1" applyFill="1" applyBorder="1" applyAlignment="1">
      <alignment/>
    </xf>
    <xf numFmtId="2" fontId="32" fillId="0" borderId="10" xfId="0" applyNumberFormat="1" applyFont="1" applyFill="1" applyBorder="1" applyAlignment="1">
      <alignment/>
    </xf>
    <xf numFmtId="1" fontId="32" fillId="0" borderId="10" xfId="0" applyNumberFormat="1" applyFont="1" applyFill="1" applyBorder="1" applyAlignment="1">
      <alignment/>
    </xf>
    <xf numFmtId="0" fontId="33" fillId="0" borderId="10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2" fontId="34" fillId="0" borderId="10" xfId="0" applyNumberFormat="1" applyFont="1" applyFill="1" applyBorder="1" applyAlignment="1">
      <alignment horizontal="center"/>
    </xf>
    <xf numFmtId="2" fontId="35" fillId="0" borderId="10" xfId="0" applyNumberFormat="1" applyFont="1" applyFill="1" applyBorder="1" applyAlignment="1">
      <alignment horizontal="center"/>
    </xf>
    <xf numFmtId="2" fontId="34" fillId="0" borderId="10" xfId="0" applyNumberFormat="1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1" fontId="34" fillId="0" borderId="10" xfId="0" applyNumberFormat="1" applyFont="1" applyFill="1" applyBorder="1" applyAlignment="1">
      <alignment horizontal="center" vertical="center" wrapText="1"/>
    </xf>
    <xf numFmtId="2" fontId="3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34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1" fontId="1" fillId="0" borderId="15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/>
    </xf>
    <xf numFmtId="0" fontId="35" fillId="0" borderId="10" xfId="0" applyFont="1" applyFill="1" applyBorder="1" applyAlignment="1">
      <alignment/>
    </xf>
    <xf numFmtId="1" fontId="1" fillId="0" borderId="16" xfId="0" applyNumberFormat="1" applyFont="1" applyFill="1" applyBorder="1" applyAlignment="1">
      <alignment/>
    </xf>
    <xf numFmtId="1" fontId="34" fillId="0" borderId="15" xfId="0" applyNumberFormat="1" applyFont="1" applyFill="1" applyBorder="1" applyAlignment="1">
      <alignment/>
    </xf>
    <xf numFmtId="1" fontId="34" fillId="0" borderId="13" xfId="0" applyNumberFormat="1" applyFont="1" applyFill="1" applyBorder="1" applyAlignment="1">
      <alignment/>
    </xf>
    <xf numFmtId="1" fontId="34" fillId="0" borderId="17" xfId="0" applyNumberFormat="1" applyFont="1" applyFill="1" applyBorder="1" applyAlignment="1">
      <alignment/>
    </xf>
    <xf numFmtId="1" fontId="34" fillId="0" borderId="0" xfId="0" applyNumberFormat="1" applyFont="1" applyFill="1" applyAlignment="1">
      <alignment/>
    </xf>
    <xf numFmtId="1" fontId="34" fillId="0" borderId="14" xfId="0" applyNumberFormat="1" applyFont="1" applyFill="1" applyBorder="1" applyAlignment="1">
      <alignment/>
    </xf>
    <xf numFmtId="0" fontId="34" fillId="0" borderId="10" xfId="0" applyFont="1" applyFill="1" applyBorder="1" applyAlignment="1">
      <alignment vertical="center" wrapText="1"/>
    </xf>
    <xf numFmtId="1" fontId="34" fillId="0" borderId="10" xfId="0" applyNumberFormat="1" applyFont="1" applyFill="1" applyBorder="1" applyAlignment="1">
      <alignment vertical="center"/>
    </xf>
    <xf numFmtId="2" fontId="34" fillId="0" borderId="10" xfId="0" applyNumberFormat="1" applyFont="1" applyFill="1" applyBorder="1" applyAlignment="1">
      <alignment/>
    </xf>
    <xf numFmtId="2" fontId="36" fillId="0" borderId="10" xfId="0" applyNumberFormat="1" applyFont="1" applyFill="1" applyBorder="1" applyAlignment="1">
      <alignment/>
    </xf>
    <xf numFmtId="0" fontId="34" fillId="0" borderId="10" xfId="0" applyFont="1" applyFill="1" applyBorder="1" applyAlignment="1">
      <alignment horizontal="center" vertical="center"/>
    </xf>
    <xf numFmtId="2" fontId="34" fillId="0" borderId="10" xfId="0" applyNumberFormat="1" applyFont="1" applyFill="1" applyBorder="1" applyAlignment="1">
      <alignment horizontal="center" vertical="center"/>
    </xf>
    <xf numFmtId="2" fontId="35" fillId="0" borderId="10" xfId="0" applyNumberFormat="1" applyFont="1" applyFill="1" applyBorder="1" applyAlignment="1">
      <alignment horizontal="center" vertical="center"/>
    </xf>
    <xf numFmtId="1" fontId="34" fillId="0" borderId="18" xfId="0" applyNumberFormat="1" applyFont="1" applyFill="1" applyBorder="1" applyAlignment="1">
      <alignment/>
    </xf>
    <xf numFmtId="2" fontId="35" fillId="0" borderId="10" xfId="0" applyNumberFormat="1" applyFont="1" applyFill="1" applyBorder="1" applyAlignment="1">
      <alignment/>
    </xf>
    <xf numFmtId="0" fontId="36" fillId="0" borderId="10" xfId="0" applyFont="1" applyFill="1" applyBorder="1" applyAlignment="1">
      <alignment wrapText="1"/>
    </xf>
    <xf numFmtId="0" fontId="34" fillId="0" borderId="0" xfId="0" applyFont="1" applyFill="1" applyAlignment="1">
      <alignment/>
    </xf>
    <xf numFmtId="0" fontId="34" fillId="0" borderId="0" xfId="0" applyNumberFormat="1" applyFont="1" applyFill="1" applyAlignment="1">
      <alignment/>
    </xf>
    <xf numFmtId="1" fontId="37" fillId="0" borderId="18" xfId="0" applyNumberFormat="1" applyFont="1" applyFill="1" applyBorder="1" applyAlignment="1">
      <alignment/>
    </xf>
    <xf numFmtId="1" fontId="37" fillId="0" borderId="18" xfId="0" applyNumberFormat="1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/>
    </xf>
    <xf numFmtId="1" fontId="37" fillId="0" borderId="18" xfId="0" applyNumberFormat="1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/>
    </xf>
    <xf numFmtId="0" fontId="37" fillId="0" borderId="0" xfId="0" applyFont="1" applyFill="1" applyAlignment="1">
      <alignment/>
    </xf>
    <xf numFmtId="0" fontId="38" fillId="0" borderId="18" xfId="0" applyFont="1" applyFill="1" applyBorder="1" applyAlignment="1">
      <alignment/>
    </xf>
    <xf numFmtId="1" fontId="38" fillId="0" borderId="18" xfId="0" applyNumberFormat="1" applyFont="1" applyFill="1" applyBorder="1" applyAlignment="1">
      <alignment horizontal="center" vertical="center"/>
    </xf>
    <xf numFmtId="1" fontId="38" fillId="0" borderId="18" xfId="0" applyNumberFormat="1" applyFont="1" applyFill="1" applyBorder="1" applyAlignment="1">
      <alignment/>
    </xf>
    <xf numFmtId="1" fontId="37" fillId="0" borderId="0" xfId="0" applyNumberFormat="1" applyFont="1" applyFill="1" applyAlignment="1">
      <alignment/>
    </xf>
    <xf numFmtId="0" fontId="38" fillId="0" borderId="18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/>
    </xf>
    <xf numFmtId="1" fontId="0" fillId="0" borderId="14" xfId="0" applyNumberFormat="1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22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1" fontId="0" fillId="6" borderId="14" xfId="0" applyNumberFormat="1" applyFill="1" applyBorder="1" applyAlignment="1">
      <alignment/>
    </xf>
    <xf numFmtId="1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1" fontId="0" fillId="25" borderId="0" xfId="0" applyNumberFormat="1" applyFill="1" applyBorder="1" applyAlignment="1">
      <alignment/>
    </xf>
    <xf numFmtId="0" fontId="0" fillId="0" borderId="0" xfId="0" applyBorder="1" applyAlignment="1">
      <alignment/>
    </xf>
    <xf numFmtId="2" fontId="0" fillId="6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6" borderId="0" xfId="0" applyFill="1" applyBorder="1" applyAlignment="1">
      <alignment/>
    </xf>
    <xf numFmtId="1" fontId="0" fillId="6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6" borderId="15" xfId="0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26" borderId="0" xfId="0" applyFill="1" applyBorder="1" applyAlignment="1">
      <alignment/>
    </xf>
    <xf numFmtId="0" fontId="34" fillId="0" borderId="14" xfId="0" applyFont="1" applyFill="1" applyBorder="1" applyAlignment="1">
      <alignment/>
    </xf>
    <xf numFmtId="0" fontId="0" fillId="0" borderId="19" xfId="0" applyFont="1" applyBorder="1" applyAlignment="1">
      <alignment/>
    </xf>
    <xf numFmtId="1" fontId="0" fillId="0" borderId="19" xfId="0" applyNumberFormat="1" applyFill="1" applyBorder="1" applyAlignment="1">
      <alignment/>
    </xf>
    <xf numFmtId="0" fontId="22" fillId="0" borderId="13" xfId="0" applyFont="1" applyBorder="1" applyAlignment="1">
      <alignment wrapText="1"/>
    </xf>
    <xf numFmtId="0" fontId="0" fillId="6" borderId="14" xfId="0" applyFill="1" applyBorder="1" applyAlignment="1">
      <alignment/>
    </xf>
    <xf numFmtId="2" fontId="0" fillId="6" borderId="0" xfId="0" applyNumberFormat="1" applyFont="1" applyFill="1" applyBorder="1" applyAlignment="1">
      <alignment/>
    </xf>
    <xf numFmtId="0" fontId="0" fillId="24" borderId="0" xfId="0" applyFill="1" applyBorder="1" applyAlignment="1">
      <alignment/>
    </xf>
    <xf numFmtId="1" fontId="0" fillId="24" borderId="0" xfId="0" applyNumberFormat="1" applyFill="1" applyBorder="1" applyAlignment="1">
      <alignment/>
    </xf>
    <xf numFmtId="0" fontId="22" fillId="23" borderId="0" xfId="0" applyFont="1" applyFill="1" applyBorder="1" applyAlignment="1">
      <alignment wrapText="1"/>
    </xf>
    <xf numFmtId="0" fontId="22" fillId="0" borderId="0" xfId="0" applyFont="1" applyBorder="1" applyAlignment="1">
      <alignment wrapText="1"/>
    </xf>
    <xf numFmtId="1" fontId="22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/>
    </xf>
    <xf numFmtId="0" fontId="0" fillId="6" borderId="19" xfId="0" applyFill="1" applyBorder="1" applyAlignment="1">
      <alignment/>
    </xf>
    <xf numFmtId="1" fontId="0" fillId="6" borderId="19" xfId="0" applyNumberFormat="1" applyFill="1" applyBorder="1" applyAlignment="1">
      <alignment/>
    </xf>
    <xf numFmtId="0" fontId="0" fillId="22" borderId="19" xfId="0" applyFill="1" applyBorder="1" applyAlignment="1">
      <alignment/>
    </xf>
    <xf numFmtId="0" fontId="0" fillId="22" borderId="0" xfId="0" applyFill="1" applyBorder="1" applyAlignment="1">
      <alignment/>
    </xf>
    <xf numFmtId="0" fontId="27" fillId="0" borderId="0" xfId="0" applyFont="1" applyBorder="1" applyAlignment="1">
      <alignment/>
    </xf>
    <xf numFmtId="1" fontId="27" fillId="6" borderId="0" xfId="0" applyNumberFormat="1" applyFont="1" applyFill="1" applyBorder="1" applyAlignment="1">
      <alignment/>
    </xf>
    <xf numFmtId="0" fontId="27" fillId="22" borderId="0" xfId="0" applyFont="1" applyFill="1" applyBorder="1" applyAlignment="1">
      <alignment/>
    </xf>
    <xf numFmtId="1" fontId="0" fillId="7" borderId="13" xfId="0" applyNumberFormat="1" applyFill="1" applyBorder="1" applyAlignment="1">
      <alignment/>
    </xf>
    <xf numFmtId="1" fontId="0" fillId="24" borderId="13" xfId="0" applyNumberFormat="1" applyFill="1" applyBorder="1" applyAlignment="1">
      <alignment/>
    </xf>
    <xf numFmtId="0" fontId="0" fillId="7" borderId="13" xfId="0" applyFill="1" applyBorder="1" applyAlignment="1">
      <alignment/>
    </xf>
    <xf numFmtId="2" fontId="0" fillId="7" borderId="13" xfId="0" applyNumberFormat="1" applyFont="1" applyFill="1" applyBorder="1" applyAlignment="1">
      <alignment/>
    </xf>
    <xf numFmtId="2" fontId="0" fillId="23" borderId="0" xfId="0" applyNumberFormat="1" applyFill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1" fontId="28" fillId="0" borderId="13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/>
    </xf>
    <xf numFmtId="1" fontId="30" fillId="0" borderId="10" xfId="0" applyNumberFormat="1" applyFont="1" applyFill="1" applyBorder="1" applyAlignment="1">
      <alignment wrapText="1"/>
    </xf>
    <xf numFmtId="1" fontId="30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Alignment="1">
      <alignment wrapText="1"/>
    </xf>
    <xf numFmtId="1" fontId="37" fillId="0" borderId="18" xfId="0" applyNumberFormat="1" applyFont="1" applyFill="1" applyBorder="1" applyAlignment="1">
      <alignment wrapText="1"/>
    </xf>
    <xf numFmtId="1" fontId="28" fillId="0" borderId="10" xfId="0" applyNumberFormat="1" applyFont="1" applyFill="1" applyBorder="1" applyAlignment="1">
      <alignment wrapText="1"/>
    </xf>
    <xf numFmtId="1" fontId="28" fillId="0" borderId="15" xfId="0" applyNumberFormat="1" applyFont="1" applyFill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1 1" xfId="50"/>
    <cellStyle name="Heading 2" xfId="51"/>
    <cellStyle name="Heading 3" xfId="52"/>
    <cellStyle name="Heading 4" xfId="53"/>
    <cellStyle name="Heading1 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 1" xfId="61"/>
    <cellStyle name="Result2 1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66FF"/>
      <rgbColor rgb="0066FFFF"/>
      <rgbColor rgb="00800000"/>
      <rgbColor rgb="00008000"/>
      <rgbColor rgb="00000080"/>
      <rgbColor rgb="00FFCCCC"/>
      <rgbColor rgb="00800080"/>
      <rgbColor rgb="00008080"/>
      <rgbColor rgb="00C0C0C0"/>
      <rgbColor rgb="00808080"/>
      <rgbColor rgb="00FF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FF00"/>
      <rgbColor rgb="0099FFCC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99"/>
      <rgbColor rgb="00FFCC00"/>
      <rgbColor rgb="00FF9900"/>
      <rgbColor rgb="00FF6600"/>
      <rgbColor rgb="00CCFF99"/>
      <rgbColor rgb="00969696"/>
      <rgbColor rgb="00003366"/>
      <rgbColor rgb="00339966"/>
      <rgbColor rgb="00003300"/>
      <rgbColor rgb="00231F2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view="pageBreakPreview" zoomScale="6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5" sqref="F15"/>
    </sheetView>
  </sheetViews>
  <sheetFormatPr defaultColWidth="9.00390625" defaultRowHeight="14.25"/>
  <cols>
    <col min="1" max="1" width="15.50390625" style="52" customWidth="1"/>
    <col min="2" max="2" width="10.625" style="52" customWidth="1"/>
    <col min="3" max="3" width="12.75390625" style="52" customWidth="1"/>
    <col min="4" max="4" width="12.125" style="52" customWidth="1"/>
    <col min="5" max="14" width="10.75390625" style="52" customWidth="1"/>
    <col min="15" max="15" width="10.375" style="52" customWidth="1"/>
    <col min="16" max="16" width="11.00390625" style="52" customWidth="1"/>
    <col min="17" max="17" width="1.875" style="52" customWidth="1"/>
    <col min="18" max="18" width="10.625" style="52" customWidth="1"/>
    <col min="19" max="19" width="12.75390625" style="52" customWidth="1"/>
    <col min="20" max="21" width="10.75390625" style="52" customWidth="1"/>
    <col min="22" max="22" width="15.625" style="52" customWidth="1"/>
    <col min="23" max="23" width="11.00390625" style="52" customWidth="1"/>
    <col min="24" max="16384" width="9.00390625" style="52" customWidth="1"/>
  </cols>
  <sheetData>
    <row r="1" spans="1:23" ht="18">
      <c r="A1" s="89"/>
      <c r="B1" s="88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 t="s">
        <v>1</v>
      </c>
      <c r="R1" s="88" t="s">
        <v>2</v>
      </c>
      <c r="S1" s="89"/>
      <c r="T1" s="89"/>
      <c r="U1" s="89"/>
      <c r="V1" s="89"/>
      <c r="W1" s="89" t="s">
        <v>1</v>
      </c>
    </row>
    <row r="2" spans="1:23" ht="54">
      <c r="A2" s="89"/>
      <c r="B2" s="90" t="s">
        <v>3</v>
      </c>
      <c r="C2" s="90" t="s">
        <v>4</v>
      </c>
      <c r="D2" s="90" t="s">
        <v>5</v>
      </c>
      <c r="E2" s="90" t="s">
        <v>6</v>
      </c>
      <c r="F2" s="90" t="s">
        <v>7</v>
      </c>
      <c r="G2" s="90" t="s">
        <v>8</v>
      </c>
      <c r="H2" s="90" t="s">
        <v>9</v>
      </c>
      <c r="I2" s="90" t="s">
        <v>10</v>
      </c>
      <c r="J2" s="90" t="s">
        <v>11</v>
      </c>
      <c r="K2" s="90" t="s">
        <v>12</v>
      </c>
      <c r="L2" s="90" t="s">
        <v>13</v>
      </c>
      <c r="M2" s="90" t="s">
        <v>14</v>
      </c>
      <c r="N2" s="90" t="s">
        <v>15</v>
      </c>
      <c r="O2" s="90" t="s">
        <v>16</v>
      </c>
      <c r="P2" s="90" t="s">
        <v>17</v>
      </c>
      <c r="R2" s="90" t="s">
        <v>3</v>
      </c>
      <c r="S2" s="90" t="s">
        <v>4</v>
      </c>
      <c r="T2" s="90" t="s">
        <v>5</v>
      </c>
      <c r="U2" s="90" t="s">
        <v>18</v>
      </c>
      <c r="V2" s="90" t="s">
        <v>16</v>
      </c>
      <c r="W2" s="90" t="s">
        <v>17</v>
      </c>
    </row>
    <row r="3" spans="1:23" ht="18">
      <c r="A3" s="89"/>
      <c r="B3" s="89" t="s">
        <v>19</v>
      </c>
      <c r="C3" s="89" t="s">
        <v>19</v>
      </c>
      <c r="D3" s="89" t="s">
        <v>19</v>
      </c>
      <c r="E3" s="89"/>
      <c r="F3" s="89"/>
      <c r="G3" s="89"/>
      <c r="H3" s="89" t="s">
        <v>20</v>
      </c>
      <c r="I3" s="89"/>
      <c r="J3" s="89"/>
      <c r="K3" s="89"/>
      <c r="L3" s="89"/>
      <c r="M3" s="89"/>
      <c r="N3" s="89"/>
      <c r="O3" s="89" t="s">
        <v>21</v>
      </c>
      <c r="P3" s="89"/>
      <c r="R3" s="89" t="s">
        <v>19</v>
      </c>
      <c r="S3" s="89" t="s">
        <v>19</v>
      </c>
      <c r="T3" s="89" t="s">
        <v>19</v>
      </c>
      <c r="U3" s="89" t="s">
        <v>20</v>
      </c>
      <c r="V3" s="89" t="s">
        <v>21</v>
      </c>
      <c r="W3" s="89"/>
    </row>
    <row r="4" spans="1:23" s="92" customFormat="1" ht="14.25">
      <c r="A4" s="50"/>
      <c r="B4" s="50" t="s">
        <v>22</v>
      </c>
      <c r="C4" s="50" t="s">
        <v>22</v>
      </c>
      <c r="D4" s="50" t="s">
        <v>22</v>
      </c>
      <c r="E4" s="50" t="s">
        <v>22</v>
      </c>
      <c r="F4" s="50" t="s">
        <v>22</v>
      </c>
      <c r="G4" s="50" t="s">
        <v>22</v>
      </c>
      <c r="H4" s="50" t="s">
        <v>22</v>
      </c>
      <c r="I4" s="50" t="s">
        <v>22</v>
      </c>
      <c r="J4" s="50" t="s">
        <v>22</v>
      </c>
      <c r="K4" s="50" t="s">
        <v>22</v>
      </c>
      <c r="L4" s="50" t="s">
        <v>22</v>
      </c>
      <c r="M4" s="50" t="s">
        <v>22</v>
      </c>
      <c r="N4" s="50" t="s">
        <v>22</v>
      </c>
      <c r="O4" s="50" t="s">
        <v>22</v>
      </c>
      <c r="P4" s="50" t="s">
        <v>22</v>
      </c>
      <c r="R4" s="50" t="s">
        <v>23</v>
      </c>
      <c r="S4" s="50" t="s">
        <v>23</v>
      </c>
      <c r="T4" s="50" t="s">
        <v>23</v>
      </c>
      <c r="U4" s="50" t="s">
        <v>23</v>
      </c>
      <c r="V4" s="50" t="s">
        <v>23</v>
      </c>
      <c r="W4" s="50" t="s">
        <v>23</v>
      </c>
    </row>
    <row r="5" spans="1:23" s="94" customFormat="1" ht="18">
      <c r="A5" s="93"/>
      <c r="B5" s="91" t="s">
        <v>24</v>
      </c>
      <c r="C5" s="91" t="s">
        <v>25</v>
      </c>
      <c r="D5" s="91" t="s">
        <v>26</v>
      </c>
      <c r="E5" s="91" t="s">
        <v>27</v>
      </c>
      <c r="F5" s="91" t="s">
        <v>28</v>
      </c>
      <c r="G5" s="91" t="s">
        <v>29</v>
      </c>
      <c r="H5" s="91" t="s">
        <v>30</v>
      </c>
      <c r="I5" s="91" t="s">
        <v>31</v>
      </c>
      <c r="J5" s="91" t="s">
        <v>32</v>
      </c>
      <c r="K5" s="91" t="s">
        <v>33</v>
      </c>
      <c r="L5" s="91" t="s">
        <v>34</v>
      </c>
      <c r="M5" s="91" t="s">
        <v>35</v>
      </c>
      <c r="N5" s="91" t="s">
        <v>36</v>
      </c>
      <c r="O5" s="91" t="s">
        <v>37</v>
      </c>
      <c r="P5" s="91" t="s">
        <v>38</v>
      </c>
      <c r="R5" s="95"/>
      <c r="S5" s="95"/>
      <c r="T5" s="95"/>
      <c r="U5" s="95"/>
      <c r="V5" s="95"/>
      <c r="W5" s="95"/>
    </row>
    <row r="6" spans="1:23" ht="18">
      <c r="A6" s="89"/>
      <c r="B6" s="51"/>
      <c r="C6" s="51"/>
      <c r="D6" s="50" t="s">
        <v>39</v>
      </c>
      <c r="E6" s="51"/>
      <c r="F6" s="51"/>
      <c r="G6" s="50" t="s">
        <v>40</v>
      </c>
      <c r="H6" s="51"/>
      <c r="I6" s="50"/>
      <c r="J6" s="50"/>
      <c r="K6" s="50"/>
      <c r="L6" s="50"/>
      <c r="M6" s="50"/>
      <c r="N6" s="50"/>
      <c r="O6" s="51"/>
      <c r="P6" s="50"/>
      <c r="R6" s="51"/>
      <c r="S6" s="51"/>
      <c r="T6" s="51"/>
      <c r="U6" s="51"/>
      <c r="V6" s="51"/>
      <c r="W6" s="51"/>
    </row>
    <row r="7" spans="1:23" ht="18">
      <c r="A7" s="89"/>
      <c r="B7" s="51"/>
      <c r="C7" s="51"/>
      <c r="D7" s="50"/>
      <c r="E7" s="51"/>
      <c r="F7" s="51"/>
      <c r="G7" s="50"/>
      <c r="H7" s="51"/>
      <c r="I7" s="50"/>
      <c r="J7" s="50"/>
      <c r="K7" s="50"/>
      <c r="L7" s="50"/>
      <c r="M7" s="50"/>
      <c r="N7" s="50"/>
      <c r="O7" s="51"/>
      <c r="P7" s="50"/>
      <c r="R7" s="51"/>
      <c r="S7" s="51"/>
      <c r="T7" s="51"/>
      <c r="U7" s="51"/>
      <c r="V7" s="51"/>
      <c r="W7" s="51"/>
    </row>
    <row r="8" spans="1:23" ht="18">
      <c r="A8" s="88" t="s">
        <v>41</v>
      </c>
      <c r="B8" s="49">
        <v>455249.320886167</v>
      </c>
      <c r="C8" s="49">
        <v>183352.686455066</v>
      </c>
      <c r="D8" s="49">
        <v>638602.007341233</v>
      </c>
      <c r="E8" s="49">
        <v>122735</v>
      </c>
      <c r="F8" s="49">
        <v>122735</v>
      </c>
      <c r="G8" s="49">
        <f>D8+E8+F8</f>
        <v>884072.007341233</v>
      </c>
      <c r="H8" s="49">
        <v>2304756.29740786</v>
      </c>
      <c r="I8" s="49"/>
      <c r="J8" s="49"/>
      <c r="K8" s="49"/>
      <c r="L8" s="49"/>
      <c r="M8" s="49"/>
      <c r="N8" s="49"/>
      <c r="O8" s="49">
        <v>6376188.15950855</v>
      </c>
      <c r="P8" s="49">
        <v>9319546.46425764</v>
      </c>
      <c r="R8" s="49">
        <v>455249.320886167</v>
      </c>
      <c r="S8" s="49">
        <v>183352.686455066</v>
      </c>
      <c r="T8" s="49">
        <v>638602.007341233</v>
      </c>
      <c r="U8" s="49">
        <v>2304756.29740786</v>
      </c>
      <c r="V8" s="49">
        <v>6376188.15950855</v>
      </c>
      <c r="W8" s="49">
        <v>9319546.46425764</v>
      </c>
    </row>
    <row r="9" spans="1:23" ht="18">
      <c r="A9" s="88"/>
      <c r="B9" s="51"/>
      <c r="C9" s="51"/>
      <c r="D9" s="51"/>
      <c r="E9" s="51"/>
      <c r="F9" s="51"/>
      <c r="G9" s="50"/>
      <c r="H9" s="51"/>
      <c r="I9" s="50"/>
      <c r="J9" s="50"/>
      <c r="K9" s="50"/>
      <c r="L9" s="50"/>
      <c r="M9" s="50"/>
      <c r="N9" s="50"/>
      <c r="O9" s="51"/>
      <c r="P9" s="50"/>
      <c r="R9" s="51"/>
      <c r="S9" s="51"/>
      <c r="T9" s="51"/>
      <c r="U9" s="51"/>
      <c r="V9" s="51"/>
      <c r="W9" s="51"/>
    </row>
    <row r="10" spans="1:23" ht="18">
      <c r="A10" s="88"/>
      <c r="B10" s="49">
        <f>B8*$B$38/100-93</f>
        <v>409657.0344874125</v>
      </c>
      <c r="C10" s="49">
        <f>C8*$C$38/100+95</f>
        <v>163297.78899911468</v>
      </c>
      <c r="D10" s="49">
        <f>B10+C10</f>
        <v>572954.8234865272</v>
      </c>
      <c r="E10" s="49">
        <f>E8*$E$36/100</f>
        <v>19760.335000000003</v>
      </c>
      <c r="F10" s="49">
        <f>F8*$F$36/100</f>
        <v>18508.438000000002</v>
      </c>
      <c r="G10" s="49">
        <f>D10+E10+F10</f>
        <v>611223.5964865271</v>
      </c>
      <c r="H10" s="49">
        <f>H8*H36/100+37</f>
        <v>9937168.30875611</v>
      </c>
      <c r="I10" s="49">
        <f>O10*I36/100+409</f>
        <v>839678.4394026104</v>
      </c>
      <c r="J10" s="49">
        <f>O10*J36/100+100</f>
        <v>1282056.3207151776</v>
      </c>
      <c r="K10" s="49">
        <f>O10*K36/100+331</f>
        <v>1892742.7115319285</v>
      </c>
      <c r="L10" s="49">
        <v>6278</v>
      </c>
      <c r="M10" s="49">
        <v>38800</v>
      </c>
      <c r="N10" s="49">
        <v>80175</v>
      </c>
      <c r="O10" s="49">
        <f>O8*O36/100+4</f>
        <v>4268918.816900358</v>
      </c>
      <c r="P10" s="49">
        <f>SUM(G10:N10)</f>
        <v>14688122.376892352</v>
      </c>
      <c r="R10" s="49"/>
      <c r="S10" s="49"/>
      <c r="T10" s="49"/>
      <c r="U10" s="49"/>
      <c r="V10" s="49"/>
      <c r="W10" s="49"/>
    </row>
    <row r="11" spans="1:23" ht="18">
      <c r="A11" s="88"/>
      <c r="B11" s="51"/>
      <c r="C11" s="51"/>
      <c r="D11" s="51"/>
      <c r="E11" s="51"/>
      <c r="F11" s="51"/>
      <c r="G11" s="50"/>
      <c r="H11" s="51"/>
      <c r="I11" s="50"/>
      <c r="J11" s="50"/>
      <c r="K11" s="50"/>
      <c r="L11" s="50"/>
      <c r="M11" s="50"/>
      <c r="N11" s="50"/>
      <c r="O11" s="51"/>
      <c r="P11" s="50"/>
      <c r="R11" s="51"/>
      <c r="S11" s="51"/>
      <c r="T11" s="51"/>
      <c r="U11" s="51"/>
      <c r="V11" s="51"/>
      <c r="W11" s="51"/>
    </row>
    <row r="12" spans="1:23" ht="18">
      <c r="A12" s="88" t="s">
        <v>42</v>
      </c>
      <c r="B12" s="49">
        <v>290057.391171212</v>
      </c>
      <c r="C12" s="49">
        <v>405144.876810363</v>
      </c>
      <c r="D12" s="49">
        <v>695202.267981575</v>
      </c>
      <c r="E12" s="49">
        <v>271201</v>
      </c>
      <c r="F12" s="49">
        <v>271201</v>
      </c>
      <c r="G12" s="49">
        <f>D12+E12+F12</f>
        <v>1237604.2679815749</v>
      </c>
      <c r="H12" s="49">
        <v>949582.724979481</v>
      </c>
      <c r="I12" s="49"/>
      <c r="J12" s="49"/>
      <c r="K12" s="49"/>
      <c r="L12" s="49"/>
      <c r="M12" s="49"/>
      <c r="N12" s="49"/>
      <c r="O12" s="49">
        <v>5043064.22938658</v>
      </c>
      <c r="P12" s="49">
        <v>6687849.22234763</v>
      </c>
      <c r="R12" s="51">
        <v>235267</v>
      </c>
      <c r="S12" s="51">
        <v>311388</v>
      </c>
      <c r="T12" s="51">
        <v>546655</v>
      </c>
      <c r="U12" s="51">
        <v>870824</v>
      </c>
      <c r="V12" s="51">
        <v>3795338</v>
      </c>
      <c r="W12" s="51">
        <v>5212817</v>
      </c>
    </row>
    <row r="13" spans="1:23" ht="18">
      <c r="A13" s="88"/>
      <c r="B13" s="51"/>
      <c r="C13" s="51"/>
      <c r="D13" s="51"/>
      <c r="E13" s="51"/>
      <c r="F13" s="51"/>
      <c r="G13" s="50"/>
      <c r="H13" s="51"/>
      <c r="I13" s="50"/>
      <c r="J13" s="50"/>
      <c r="K13" s="50"/>
      <c r="L13" s="50"/>
      <c r="M13" s="50"/>
      <c r="N13" s="50"/>
      <c r="O13" s="51"/>
      <c r="P13" s="50"/>
      <c r="R13" s="51"/>
      <c r="S13" s="51"/>
      <c r="T13" s="51"/>
      <c r="U13" s="51"/>
      <c r="V13" s="51"/>
      <c r="W13" s="51"/>
    </row>
    <row r="14" spans="1:23" ht="18">
      <c r="A14" s="88"/>
      <c r="B14" s="49">
        <f>B12*$B$38/100-100</f>
        <v>260967.99193985216</v>
      </c>
      <c r="C14" s="49">
        <f>C12*$C$38/100+95</f>
        <v>360715.69840660953</v>
      </c>
      <c r="D14" s="49">
        <f>B14+C14</f>
        <v>621683.6903464617</v>
      </c>
      <c r="E14" s="49">
        <f>E12*$E$36/100</f>
        <v>43663.361000000004</v>
      </c>
      <c r="F14" s="49">
        <f>F12*$F$36/100</f>
        <v>40897.1108</v>
      </c>
      <c r="G14" s="49">
        <f>D14+E14+F14</f>
        <v>706244.1621464618</v>
      </c>
      <c r="H14" s="49">
        <f>H12*H36/100</f>
        <v>4094197.8278832673</v>
      </c>
      <c r="I14" s="49">
        <f>O14*I36/100</f>
        <v>663795.6121936566</v>
      </c>
      <c r="J14" s="49">
        <f>O14*J36/100+100</f>
        <v>1014025.8511788154</v>
      </c>
      <c r="K14" s="49">
        <f>O14*K36/100</f>
        <v>1496747.6850734893</v>
      </c>
      <c r="L14" s="49">
        <v>6278</v>
      </c>
      <c r="M14" s="49">
        <v>38800</v>
      </c>
      <c r="N14" s="49">
        <v>80175</v>
      </c>
      <c r="O14" s="49">
        <f>O12*O36/100</f>
        <v>3376376.4608019157</v>
      </c>
      <c r="P14" s="49">
        <f>SUM(G14:N14)</f>
        <v>8100264.138475691</v>
      </c>
      <c r="R14" s="49">
        <v>290057.391171212</v>
      </c>
      <c r="S14" s="49">
        <v>405144.876810363</v>
      </c>
      <c r="T14" s="49">
        <v>695202.267981575</v>
      </c>
      <c r="U14" s="49">
        <v>949582.724979481</v>
      </c>
      <c r="V14" s="49">
        <v>5043064.22938658</v>
      </c>
      <c r="W14" s="49">
        <v>6687849.22234763</v>
      </c>
    </row>
    <row r="15" spans="1:23" ht="18">
      <c r="A15" s="88"/>
      <c r="B15" s="51"/>
      <c r="C15" s="51"/>
      <c r="D15" s="51"/>
      <c r="E15" s="51"/>
      <c r="F15" s="51"/>
      <c r="G15" s="50"/>
      <c r="H15" s="51"/>
      <c r="I15" s="50"/>
      <c r="J15" s="50"/>
      <c r="K15" s="50"/>
      <c r="L15" s="50"/>
      <c r="M15" s="50"/>
      <c r="N15" s="50"/>
      <c r="O15" s="51"/>
      <c r="P15" s="50"/>
      <c r="R15" s="51"/>
      <c r="S15" s="51"/>
      <c r="T15" s="51"/>
      <c r="U15" s="51"/>
      <c r="V15" s="51"/>
      <c r="W15" s="51"/>
    </row>
    <row r="16" spans="1:23" ht="18">
      <c r="A16" s="88" t="s">
        <v>43</v>
      </c>
      <c r="B16" s="49">
        <v>315555.939476767</v>
      </c>
      <c r="C16" s="49">
        <v>571077.22351048</v>
      </c>
      <c r="D16" s="49">
        <v>886633.162987247</v>
      </c>
      <c r="E16" s="49">
        <v>382274.3014127677</v>
      </c>
      <c r="F16" s="49">
        <v>382274.3014127677</v>
      </c>
      <c r="G16" s="49">
        <f>D16+E16+F16</f>
        <v>1651181.7658127823</v>
      </c>
      <c r="H16" s="49">
        <v>105653.978078219</v>
      </c>
      <c r="I16" s="49"/>
      <c r="J16" s="49"/>
      <c r="K16" s="49"/>
      <c r="L16" s="49"/>
      <c r="M16" s="49"/>
      <c r="N16" s="49"/>
      <c r="O16" s="49">
        <v>2513639.32582374</v>
      </c>
      <c r="P16" s="49">
        <v>3505926.46688921</v>
      </c>
      <c r="R16" s="51">
        <v>255949</v>
      </c>
      <c r="S16" s="51">
        <v>438921</v>
      </c>
      <c r="T16" s="51">
        <v>694870</v>
      </c>
      <c r="U16" s="51">
        <v>96891</v>
      </c>
      <c r="V16" s="51">
        <v>1891729</v>
      </c>
      <c r="W16" s="51">
        <v>2683490</v>
      </c>
    </row>
    <row r="17" spans="1:23" ht="18">
      <c r="A17" s="88"/>
      <c r="B17" s="51"/>
      <c r="C17" s="51"/>
      <c r="D17" s="51"/>
      <c r="E17" s="51"/>
      <c r="F17" s="51"/>
      <c r="G17" s="50"/>
      <c r="H17" s="51"/>
      <c r="I17" s="50"/>
      <c r="J17" s="50"/>
      <c r="K17" s="50"/>
      <c r="L17" s="50"/>
      <c r="M17" s="50"/>
      <c r="N17" s="50"/>
      <c r="O17" s="51"/>
      <c r="P17" s="50"/>
      <c r="R17" s="51"/>
      <c r="S17" s="51"/>
      <c r="T17" s="51"/>
      <c r="U17" s="51"/>
      <c r="V17" s="51"/>
      <c r="W17" s="51"/>
    </row>
    <row r="18" spans="1:23" ht="18">
      <c r="A18" s="88"/>
      <c r="B18" s="49">
        <f>B16*$B$38/100-100</f>
        <v>283918.1218318473</v>
      </c>
      <c r="C18" s="49">
        <f>C16*$C$38/100+95</f>
        <v>508412.5895195944</v>
      </c>
      <c r="D18" s="49">
        <f>B18+C18</f>
        <v>792330.7113514417</v>
      </c>
      <c r="E18" s="49">
        <f>E16*$E$36/100</f>
        <v>61546.162527455606</v>
      </c>
      <c r="F18" s="49">
        <f>F16*$F$36/100</f>
        <v>57646.96465304537</v>
      </c>
      <c r="G18" s="49">
        <f>D18+E18+F18</f>
        <v>911523.8385319427</v>
      </c>
      <c r="H18" s="49">
        <f>H16*H36/100</f>
        <v>455535.12735229864</v>
      </c>
      <c r="I18" s="49">
        <f>O18*I36/100</f>
        <v>330858.9141887997</v>
      </c>
      <c r="J18" s="49">
        <f>O18*J36/100</f>
        <v>505376.05254779523</v>
      </c>
      <c r="K18" s="49">
        <f>O18*K36/100</f>
        <v>746031.315665793</v>
      </c>
      <c r="L18" s="49">
        <v>6277</v>
      </c>
      <c r="M18" s="49">
        <v>38800</v>
      </c>
      <c r="N18" s="49">
        <v>80175</v>
      </c>
      <c r="O18" s="49">
        <f>O16*O36/100</f>
        <v>1682903.937888096</v>
      </c>
      <c r="P18" s="49">
        <f>SUM(G18:N18)</f>
        <v>3074577.248286629</v>
      </c>
      <c r="R18" s="49">
        <v>315555.939476767</v>
      </c>
      <c r="S18" s="49">
        <v>571077.22351048</v>
      </c>
      <c r="T18" s="49">
        <v>886633.162987247</v>
      </c>
      <c r="U18" s="49">
        <v>105653.978078219</v>
      </c>
      <c r="V18" s="49">
        <v>2513639.32582374</v>
      </c>
      <c r="W18" s="49">
        <v>3505926.46688921</v>
      </c>
    </row>
    <row r="19" spans="1:23" ht="18">
      <c r="A19" s="88"/>
      <c r="B19" s="51"/>
      <c r="C19" s="51"/>
      <c r="D19" s="51"/>
      <c r="E19" s="51"/>
      <c r="F19" s="51"/>
      <c r="G19" s="50"/>
      <c r="H19" s="51"/>
      <c r="I19" s="50"/>
      <c r="J19" s="50"/>
      <c r="K19" s="50"/>
      <c r="L19" s="50"/>
      <c r="M19" s="50"/>
      <c r="N19" s="50"/>
      <c r="O19" s="51"/>
      <c r="P19" s="50"/>
      <c r="R19" s="51"/>
      <c r="S19" s="51"/>
      <c r="T19" s="51"/>
      <c r="U19" s="51"/>
      <c r="V19" s="51"/>
      <c r="W19" s="51"/>
    </row>
    <row r="20" spans="1:23" ht="18">
      <c r="A20" s="88" t="s">
        <v>44</v>
      </c>
      <c r="B20" s="49">
        <v>441121.680182495</v>
      </c>
      <c r="C20" s="49">
        <v>256930.820257598</v>
      </c>
      <c r="D20" s="49">
        <v>698052.500440092</v>
      </c>
      <c r="E20" s="49">
        <v>171987.3351306581</v>
      </c>
      <c r="F20" s="49">
        <v>171987.3351306581</v>
      </c>
      <c r="G20" s="49">
        <f>D20+E20+F20</f>
        <v>1042027.1707014082</v>
      </c>
      <c r="H20" s="49">
        <v>118020.676382345</v>
      </c>
      <c r="I20" s="49"/>
      <c r="J20" s="49"/>
      <c r="K20" s="49"/>
      <c r="L20" s="49"/>
      <c r="M20" s="49"/>
      <c r="N20" s="49"/>
      <c r="O20" s="49">
        <v>908014.866852276</v>
      </c>
      <c r="P20" s="49">
        <v>1724089.04367471</v>
      </c>
      <c r="R20" s="51">
        <v>357796</v>
      </c>
      <c r="S20" s="51">
        <v>197473</v>
      </c>
      <c r="T20" s="51">
        <v>555269</v>
      </c>
      <c r="U20" s="51">
        <v>108232</v>
      </c>
      <c r="V20" s="51">
        <v>683359</v>
      </c>
      <c r="W20" s="51">
        <v>1346860</v>
      </c>
    </row>
    <row r="21" spans="1:23" ht="18">
      <c r="A21" s="88"/>
      <c r="B21" s="51"/>
      <c r="C21" s="51"/>
      <c r="D21" s="51"/>
      <c r="E21" s="51"/>
      <c r="F21" s="51"/>
      <c r="G21" s="50"/>
      <c r="H21" s="51"/>
      <c r="I21" s="50"/>
      <c r="J21" s="50"/>
      <c r="K21" s="50"/>
      <c r="L21" s="50"/>
      <c r="M21" s="50"/>
      <c r="N21" s="50"/>
      <c r="O21" s="51"/>
      <c r="P21" s="50"/>
      <c r="R21" s="51"/>
      <c r="S21" s="51"/>
      <c r="T21" s="51"/>
      <c r="U21" s="51"/>
      <c r="V21" s="51"/>
      <c r="W21" s="51"/>
    </row>
    <row r="22" spans="1:23" ht="18">
      <c r="A22" s="88"/>
      <c r="B22" s="49">
        <f>B20*$B$38/100-100</f>
        <v>396934.3619976937</v>
      </c>
      <c r="C22" s="49">
        <f>C20*$C$38/100+95</f>
        <v>228789.91173856572</v>
      </c>
      <c r="D22" s="49">
        <f>B22+C22</f>
        <v>625724.2737362594</v>
      </c>
      <c r="E22" s="49">
        <f>E20*$E$36/100</f>
        <v>27689.960956035953</v>
      </c>
      <c r="F22" s="49">
        <f>F20*$F$36/100</f>
        <v>25935.69013770324</v>
      </c>
      <c r="G22" s="49">
        <f>D22+E22+F22</f>
        <v>679349.9248299986</v>
      </c>
      <c r="H22" s="49">
        <f>H20*H36/100</f>
        <v>508855.0835845841</v>
      </c>
      <c r="I22" s="49">
        <f>O22*I36/100</f>
        <v>119517.8679087462</v>
      </c>
      <c r="J22" s="49">
        <f>O22*J36/100+24</f>
        <v>182583.59172429543</v>
      </c>
      <c r="K22" s="49">
        <f>O22*K36/100</f>
        <v>269492.73064062657</v>
      </c>
      <c r="L22" s="49">
        <v>6277</v>
      </c>
      <c r="M22" s="49">
        <v>38800</v>
      </c>
      <c r="N22" s="49">
        <v>80175</v>
      </c>
      <c r="O22" s="49">
        <f>O20*O36/100</f>
        <v>607924.0483659521</v>
      </c>
      <c r="P22" s="49">
        <f>SUM(G22:N22)</f>
        <v>1885051.198688251</v>
      </c>
      <c r="R22" s="49">
        <v>441121.680182495</v>
      </c>
      <c r="S22" s="49">
        <v>256930.820257598</v>
      </c>
      <c r="T22" s="49">
        <v>698052.500440092</v>
      </c>
      <c r="U22" s="49">
        <v>118020.676382345</v>
      </c>
      <c r="V22" s="49">
        <v>908014.866852276</v>
      </c>
      <c r="W22" s="49">
        <v>1724089.04367471</v>
      </c>
    </row>
    <row r="23" spans="1:23" ht="18">
      <c r="A23" s="88"/>
      <c r="B23" s="51"/>
      <c r="C23" s="51"/>
      <c r="D23" s="51"/>
      <c r="E23" s="51"/>
      <c r="F23" s="51"/>
      <c r="G23" s="50"/>
      <c r="H23" s="51"/>
      <c r="I23" s="50"/>
      <c r="J23" s="50"/>
      <c r="K23" s="50"/>
      <c r="L23" s="50"/>
      <c r="M23" s="50"/>
      <c r="N23" s="50"/>
      <c r="O23" s="51"/>
      <c r="P23" s="50"/>
      <c r="R23" s="51"/>
      <c r="S23" s="51"/>
      <c r="T23" s="51"/>
      <c r="U23" s="51"/>
      <c r="V23" s="51"/>
      <c r="W23" s="51"/>
    </row>
    <row r="24" spans="1:23" ht="18">
      <c r="A24" s="88" t="s">
        <v>45</v>
      </c>
      <c r="B24" s="49">
        <v>731701.815018804</v>
      </c>
      <c r="C24" s="49">
        <v>638741.887734534</v>
      </c>
      <c r="D24" s="49">
        <v>1370443.70275334</v>
      </c>
      <c r="E24" s="49">
        <v>427568.4598587576</v>
      </c>
      <c r="F24" s="49">
        <v>427568.4598587576</v>
      </c>
      <c r="G24" s="49">
        <f>D24+E24+F24</f>
        <v>2225580.6224708552</v>
      </c>
      <c r="H24" s="49">
        <v>185600.795190053</v>
      </c>
      <c r="I24" s="49"/>
      <c r="J24" s="49"/>
      <c r="K24" s="49"/>
      <c r="L24" s="49"/>
      <c r="M24" s="49"/>
      <c r="N24" s="49"/>
      <c r="O24" s="49">
        <v>825440.881749763</v>
      </c>
      <c r="P24" s="49">
        <v>2381486.37969315</v>
      </c>
      <c r="R24" s="51">
        <v>593487</v>
      </c>
      <c r="S24" s="51">
        <v>490927</v>
      </c>
      <c r="T24" s="51">
        <v>1084414</v>
      </c>
      <c r="U24" s="51">
        <v>170207</v>
      </c>
      <c r="V24" s="51">
        <v>621215</v>
      </c>
      <c r="W24" s="51">
        <v>1875836</v>
      </c>
    </row>
    <row r="25" spans="1:23" ht="18">
      <c r="A25" s="88"/>
      <c r="B25" s="51"/>
      <c r="C25" s="51"/>
      <c r="D25" s="51"/>
      <c r="E25" s="51"/>
      <c r="F25" s="51"/>
      <c r="G25" s="50"/>
      <c r="H25" s="51"/>
      <c r="I25" s="50"/>
      <c r="J25" s="50"/>
      <c r="K25" s="50"/>
      <c r="L25" s="50"/>
      <c r="M25" s="50"/>
      <c r="N25" s="50"/>
      <c r="O25" s="51"/>
      <c r="P25" s="50"/>
      <c r="R25" s="51"/>
      <c r="S25" s="51"/>
      <c r="T25" s="51"/>
      <c r="U25" s="51"/>
      <c r="V25" s="51"/>
      <c r="W25" s="51"/>
    </row>
    <row r="26" spans="1:23" ht="18">
      <c r="A26" s="88"/>
      <c r="B26" s="49">
        <f>B24*$B$38/100-100</f>
        <v>658472.8526840012</v>
      </c>
      <c r="C26" s="49">
        <f>C24*$C$38/100+111</f>
        <v>568657.1148363507</v>
      </c>
      <c r="D26" s="49">
        <f>B26+C26</f>
        <v>1227129.967520352</v>
      </c>
      <c r="E26" s="49">
        <f>E24*$E$36/100+2</f>
        <v>68840.52203725999</v>
      </c>
      <c r="F26" s="49">
        <f>F24*$F$36/100</f>
        <v>64477.32374670065</v>
      </c>
      <c r="G26" s="49">
        <f>D26+E26+F26</f>
        <v>1360447.8133043125</v>
      </c>
      <c r="H26" s="49">
        <f>H24*H36/100</f>
        <v>800231.8834695969</v>
      </c>
      <c r="I26" s="49">
        <f>O26*I36/100</f>
        <v>108649.02973829528</v>
      </c>
      <c r="J26" s="49">
        <f>O26*J36/100</f>
        <v>165957.80076505634</v>
      </c>
      <c r="K26" s="49">
        <f>O26*K36/100</f>
        <v>244985.32493889265</v>
      </c>
      <c r="L26" s="49">
        <v>6278</v>
      </c>
      <c r="M26" s="49">
        <v>38800</v>
      </c>
      <c r="N26" s="49">
        <v>80175</v>
      </c>
      <c r="O26" s="49">
        <f>O24*O36/100</f>
        <v>552640.0291876667</v>
      </c>
      <c r="P26" s="49">
        <f>SUM(G26:N26)</f>
        <v>2805524.8522161534</v>
      </c>
      <c r="R26" s="49">
        <v>731701.815018804</v>
      </c>
      <c r="S26" s="49">
        <v>638741.887734534</v>
      </c>
      <c r="T26" s="49">
        <v>1370443.70275334</v>
      </c>
      <c r="U26" s="49">
        <v>185600.795190053</v>
      </c>
      <c r="V26" s="49">
        <v>825440.881749763</v>
      </c>
      <c r="W26" s="49">
        <v>2381486.37969315</v>
      </c>
    </row>
    <row r="27" spans="1:23" ht="18">
      <c r="A27" s="88"/>
      <c r="B27" s="51"/>
      <c r="C27" s="51"/>
      <c r="D27" s="51"/>
      <c r="E27" s="51"/>
      <c r="F27" s="51"/>
      <c r="G27" s="50"/>
      <c r="H27" s="51"/>
      <c r="I27" s="50"/>
      <c r="J27" s="50"/>
      <c r="K27" s="50"/>
      <c r="L27" s="50"/>
      <c r="M27" s="50"/>
      <c r="N27" s="50"/>
      <c r="O27" s="51"/>
      <c r="P27" s="50"/>
      <c r="R27" s="51"/>
      <c r="S27" s="51"/>
      <c r="T27" s="51"/>
      <c r="U27" s="51"/>
      <c r="V27" s="51"/>
      <c r="W27" s="51"/>
    </row>
    <row r="28" spans="1:23" ht="18">
      <c r="A28" s="148" t="s">
        <v>46</v>
      </c>
      <c r="B28" s="149">
        <f aca="true" t="shared" si="0" ref="B28:O28">B10+B14+B18+B22+B26</f>
        <v>2009950.362940807</v>
      </c>
      <c r="C28" s="149">
        <f t="shared" si="0"/>
        <v>1829873.103500235</v>
      </c>
      <c r="D28" s="149">
        <f t="shared" si="0"/>
        <v>3839823.4664410423</v>
      </c>
      <c r="E28" s="149">
        <f t="shared" si="0"/>
        <v>221500.3415207516</v>
      </c>
      <c r="F28" s="149">
        <f t="shared" si="0"/>
        <v>207465.52733744925</v>
      </c>
      <c r="G28" s="149">
        <f t="shared" si="0"/>
        <v>4268789.335299242</v>
      </c>
      <c r="H28" s="149">
        <f t="shared" si="0"/>
        <v>15795988.231045857</v>
      </c>
      <c r="I28" s="149">
        <f t="shared" si="0"/>
        <v>2062499.8634321084</v>
      </c>
      <c r="J28" s="149">
        <f t="shared" si="0"/>
        <v>3149999.61693114</v>
      </c>
      <c r="K28" s="149">
        <f t="shared" si="0"/>
        <v>4649999.767850731</v>
      </c>
      <c r="L28" s="149">
        <f t="shared" si="0"/>
        <v>31388</v>
      </c>
      <c r="M28" s="149">
        <f t="shared" si="0"/>
        <v>194000</v>
      </c>
      <c r="N28" s="149">
        <f t="shared" si="0"/>
        <v>400875</v>
      </c>
      <c r="O28" s="149">
        <f t="shared" si="0"/>
        <v>10488763.293143988</v>
      </c>
      <c r="P28" s="149">
        <f>SUM(G28:N28)</f>
        <v>30553539.81455908</v>
      </c>
      <c r="R28" s="49">
        <v>2999550</v>
      </c>
      <c r="S28" s="49">
        <v>2733636</v>
      </c>
      <c r="T28" s="49">
        <v>5733186</v>
      </c>
      <c r="U28" s="49">
        <v>4653948</v>
      </c>
      <c r="V28" s="49">
        <v>20797500</v>
      </c>
      <c r="W28" s="49">
        <v>31184634</v>
      </c>
    </row>
    <row r="29" spans="1:23" ht="18">
      <c r="A29" s="150"/>
      <c r="B29" s="151"/>
      <c r="C29" s="151"/>
      <c r="D29" s="151"/>
      <c r="E29" s="151"/>
      <c r="F29" s="151"/>
      <c r="G29" s="152"/>
      <c r="H29" s="151"/>
      <c r="I29" s="152"/>
      <c r="J29" s="152"/>
      <c r="K29" s="152"/>
      <c r="L29" s="152"/>
      <c r="M29" s="152"/>
      <c r="N29" s="152"/>
      <c r="O29" s="151"/>
      <c r="P29" s="152"/>
      <c r="R29" s="51"/>
      <c r="S29" s="51"/>
      <c r="T29" s="51">
        <v>0</v>
      </c>
      <c r="U29" s="51"/>
      <c r="V29" s="51"/>
      <c r="W29" s="51"/>
    </row>
    <row r="30" spans="1:23" ht="16.5" customHeight="1">
      <c r="A30" s="150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R30" s="51">
        <v>2999550</v>
      </c>
      <c r="S30" s="51">
        <v>2733635</v>
      </c>
      <c r="T30" s="51">
        <v>5733185</v>
      </c>
      <c r="U30" s="51">
        <v>4653947</v>
      </c>
      <c r="V30" s="51">
        <v>20797500</v>
      </c>
      <c r="W30" s="51">
        <v>31184632</v>
      </c>
    </row>
    <row r="31" spans="1:23" ht="18">
      <c r="A31" s="150"/>
      <c r="B31" s="151"/>
      <c r="C31" s="151"/>
      <c r="D31" s="151"/>
      <c r="E31" s="151"/>
      <c r="F31" s="151"/>
      <c r="G31" s="152"/>
      <c r="H31" s="151"/>
      <c r="I31" s="152"/>
      <c r="J31" s="152"/>
      <c r="K31" s="152"/>
      <c r="L31" s="152"/>
      <c r="M31" s="152"/>
      <c r="N31" s="152"/>
      <c r="O31" s="151"/>
      <c r="P31" s="152"/>
      <c r="R31" s="51"/>
      <c r="S31" s="51"/>
      <c r="T31" s="51">
        <v>0</v>
      </c>
      <c r="U31" s="51"/>
      <c r="V31" s="51"/>
      <c r="W31" s="51"/>
    </row>
    <row r="32" spans="1:23" ht="18">
      <c r="A32" s="150"/>
      <c r="B32" s="153"/>
      <c r="C32" s="153"/>
      <c r="D32" s="151"/>
      <c r="E32" s="151"/>
      <c r="F32" s="151"/>
      <c r="G32" s="152"/>
      <c r="H32" s="153"/>
      <c r="I32" s="153"/>
      <c r="J32" s="153"/>
      <c r="K32" s="153"/>
      <c r="L32" s="152"/>
      <c r="M32" s="152"/>
      <c r="N32" s="152"/>
      <c r="O32" s="153"/>
      <c r="P32" s="153"/>
      <c r="R32" s="51">
        <v>566600</v>
      </c>
      <c r="S32" s="51">
        <v>632606</v>
      </c>
      <c r="T32" s="51">
        <v>1199206</v>
      </c>
      <c r="U32" s="51">
        <v>386000</v>
      </c>
      <c r="V32" s="51">
        <v>5145599</v>
      </c>
      <c r="W32" s="51">
        <v>6730805</v>
      </c>
    </row>
    <row r="33" spans="1:23" ht="18">
      <c r="A33" s="150"/>
      <c r="B33" s="151"/>
      <c r="C33" s="151"/>
      <c r="D33" s="151"/>
      <c r="E33" s="151"/>
      <c r="F33" s="151"/>
      <c r="G33" s="152"/>
      <c r="H33" s="151"/>
      <c r="I33" s="152"/>
      <c r="J33" s="152"/>
      <c r="K33" s="152"/>
      <c r="L33" s="152"/>
      <c r="M33" s="152"/>
      <c r="N33" s="152"/>
      <c r="O33" s="151"/>
      <c r="P33" s="152"/>
      <c r="R33" s="51"/>
      <c r="S33" s="51"/>
      <c r="T33" s="51"/>
      <c r="U33" s="51"/>
      <c r="V33" s="51"/>
      <c r="W33" s="51"/>
    </row>
    <row r="34" spans="1:23" ht="18">
      <c r="A34" s="150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2"/>
      <c r="R34" s="51">
        <v>2999550</v>
      </c>
      <c r="S34" s="51">
        <v>2733635</v>
      </c>
      <c r="T34" s="51">
        <v>5733185</v>
      </c>
      <c r="U34" s="51">
        <v>4653947</v>
      </c>
      <c r="V34" s="51">
        <v>20797500</v>
      </c>
      <c r="W34" s="51">
        <v>31184632</v>
      </c>
    </row>
    <row r="35" spans="1:23" ht="14.25">
      <c r="A35" s="152"/>
      <c r="B35" s="151"/>
      <c r="C35" s="151"/>
      <c r="D35" s="152"/>
      <c r="E35" s="151"/>
      <c r="F35" s="151"/>
      <c r="G35" s="152"/>
      <c r="H35" s="151"/>
      <c r="I35" s="152"/>
      <c r="J35" s="152"/>
      <c r="K35" s="152"/>
      <c r="L35" s="152"/>
      <c r="M35" s="152"/>
      <c r="N35" s="152"/>
      <c r="O35" s="151"/>
      <c r="P35" s="152"/>
      <c r="R35" s="51"/>
      <c r="S35" s="51"/>
      <c r="T35" s="51"/>
      <c r="U35" s="51"/>
      <c r="V35" s="51"/>
      <c r="W35" s="51"/>
    </row>
    <row r="36" spans="1:23" ht="18">
      <c r="A36" s="150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R36" s="96">
        <v>123.288600258945</v>
      </c>
      <c r="S36" s="96">
        <v>130.109341660682</v>
      </c>
      <c r="T36" s="96">
        <v>126.449306448045</v>
      </c>
      <c r="U36" s="96">
        <v>109.044161045111</v>
      </c>
      <c r="V36" s="96">
        <v>132.875233494002</v>
      </c>
      <c r="W36" s="96">
        <v>127.524546566883</v>
      </c>
    </row>
    <row r="37" spans="1:23" ht="18">
      <c r="A37" s="155"/>
      <c r="B37" s="151"/>
      <c r="C37" s="151"/>
      <c r="D37" s="152"/>
      <c r="E37" s="151"/>
      <c r="F37" s="151"/>
      <c r="G37" s="152"/>
      <c r="H37" s="151"/>
      <c r="I37" s="152"/>
      <c r="J37" s="152"/>
      <c r="K37" s="152"/>
      <c r="L37" s="152"/>
      <c r="M37" s="152"/>
      <c r="N37" s="152"/>
      <c r="O37" s="151"/>
      <c r="P37" s="152"/>
      <c r="R37" s="51"/>
      <c r="S37" s="51"/>
      <c r="T37" s="51"/>
      <c r="U37" s="51"/>
      <c r="V37" s="51"/>
      <c r="W37" s="51"/>
    </row>
    <row r="38" spans="1:23" ht="18">
      <c r="A38" s="155"/>
      <c r="B38" s="154"/>
      <c r="C38" s="154"/>
      <c r="D38" s="154"/>
      <c r="E38" s="154"/>
      <c r="F38" s="154"/>
      <c r="G38" s="152"/>
      <c r="H38" s="154"/>
      <c r="I38" s="154"/>
      <c r="J38" s="154"/>
      <c r="K38" s="154"/>
      <c r="L38" s="152"/>
      <c r="M38" s="152"/>
      <c r="N38" s="152"/>
      <c r="O38" s="154"/>
      <c r="P38" s="152"/>
      <c r="R38" s="51"/>
      <c r="S38" s="51"/>
      <c r="T38" s="51"/>
      <c r="U38" s="51"/>
      <c r="V38" s="51"/>
      <c r="W38" s="51"/>
    </row>
    <row r="39" spans="1:23" ht="18">
      <c r="A39" s="155"/>
      <c r="B39" s="151"/>
      <c r="C39" s="151"/>
      <c r="D39" s="152"/>
      <c r="E39" s="151"/>
      <c r="F39" s="151"/>
      <c r="G39" s="152"/>
      <c r="H39" s="153"/>
      <c r="I39" s="152"/>
      <c r="J39" s="152"/>
      <c r="K39" s="152"/>
      <c r="L39" s="152"/>
      <c r="M39" s="152"/>
      <c r="N39" s="152"/>
      <c r="O39" s="151"/>
      <c r="P39" s="156"/>
      <c r="R39" s="51"/>
      <c r="S39" s="51"/>
      <c r="T39" s="51"/>
      <c r="U39" s="51"/>
      <c r="V39" s="51"/>
      <c r="W39" s="51"/>
    </row>
    <row r="40" spans="1:23" ht="18">
      <c r="A40" s="150"/>
      <c r="B40" s="151"/>
      <c r="C40" s="151"/>
      <c r="D40" s="152"/>
      <c r="E40" s="151"/>
      <c r="F40" s="151"/>
      <c r="G40" s="152"/>
      <c r="H40" s="154"/>
      <c r="I40" s="152"/>
      <c r="J40" s="152"/>
      <c r="K40" s="152"/>
      <c r="L40" s="152"/>
      <c r="M40" s="152"/>
      <c r="N40" s="152"/>
      <c r="O40" s="151"/>
      <c r="P40" s="152"/>
      <c r="R40" s="51"/>
      <c r="S40" s="51"/>
      <c r="T40" s="51"/>
      <c r="U40" s="51"/>
      <c r="V40" s="51"/>
      <c r="W40" s="51"/>
    </row>
    <row r="41" spans="1:23" ht="18">
      <c r="A41" s="155"/>
      <c r="B41" s="151"/>
      <c r="C41" s="151"/>
      <c r="D41" s="152"/>
      <c r="E41" s="151"/>
      <c r="F41" s="151"/>
      <c r="G41" s="152"/>
      <c r="H41" s="154"/>
      <c r="I41" s="152"/>
      <c r="J41" s="152"/>
      <c r="K41" s="152"/>
      <c r="L41" s="152"/>
      <c r="M41" s="152"/>
      <c r="N41" s="152"/>
      <c r="O41" s="151"/>
      <c r="P41" s="152"/>
      <c r="R41" s="51"/>
      <c r="S41" s="51"/>
      <c r="T41" s="51"/>
      <c r="U41" s="51"/>
      <c r="V41" s="51"/>
      <c r="W41" s="51"/>
    </row>
    <row r="42" spans="1:23" ht="18">
      <c r="A42" s="150"/>
      <c r="B42" s="151"/>
      <c r="C42" s="151"/>
      <c r="D42" s="152"/>
      <c r="E42" s="151"/>
      <c r="F42" s="151"/>
      <c r="G42" s="152"/>
      <c r="H42" s="151"/>
      <c r="I42" s="152"/>
      <c r="J42" s="152"/>
      <c r="K42" s="152"/>
      <c r="L42" s="152"/>
      <c r="M42" s="152"/>
      <c r="N42" s="152"/>
      <c r="O42" s="151"/>
      <c r="P42" s="152"/>
      <c r="R42" s="51"/>
      <c r="S42" s="51"/>
      <c r="T42" s="51"/>
      <c r="U42" s="51"/>
      <c r="V42" s="51"/>
      <c r="W42" s="51"/>
    </row>
    <row r="43" spans="1:23" ht="18">
      <c r="A43" s="155"/>
      <c r="B43" s="151"/>
      <c r="C43" s="151"/>
      <c r="D43" s="152"/>
      <c r="E43" s="151"/>
      <c r="F43" s="151"/>
      <c r="G43" s="152"/>
      <c r="H43" s="151"/>
      <c r="I43" s="152"/>
      <c r="J43" s="152"/>
      <c r="K43" s="152"/>
      <c r="L43" s="152"/>
      <c r="M43" s="152"/>
      <c r="N43" s="152"/>
      <c r="O43" s="151"/>
      <c r="P43" s="152"/>
      <c r="R43" s="51"/>
      <c r="S43" s="51"/>
      <c r="T43" s="51"/>
      <c r="U43" s="51"/>
      <c r="V43" s="51"/>
      <c r="W43" s="51"/>
    </row>
    <row r="44" spans="1:16" ht="18">
      <c r="A44" s="155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</row>
    <row r="45" spans="2:16" ht="14.25"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</row>
  </sheetData>
  <sheetProtection selectLockedCells="1" selectUnlockedCells="1"/>
  <printOptions/>
  <pageMargins left="1.1722222222222223" right="0" top="0.3944444444444445" bottom="0.3944444444444445" header="0" footer="0"/>
  <pageSetup firstPageNumber="1" useFirstPageNumber="1" horizontalDpi="300" verticalDpi="300" orientation="landscape" pageOrder="overThenDown" paperSize="9" scale="66" r:id="rId1"/>
  <headerFooter alignWithMargins="0">
    <oddHeader>&amp;C&amp;A</oddHeader>
    <oddFooter>&amp;CPage 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H294"/>
  <sheetViews>
    <sheetView view="pageBreakPreview" zoomScale="60" zoomScaleNormal="90" zoomScalePageLayoutView="0" workbookViewId="0" topLeftCell="A1">
      <pane xSplit="3" ySplit="4" topLeftCell="D248" activePane="bottomRight" state="frozen"/>
      <selection pane="topLeft" activeCell="A1" sqref="A1"/>
      <selection pane="topRight" activeCell="D1" sqref="D1"/>
      <selection pane="bottomLeft" activeCell="A223" sqref="A223"/>
      <selection pane="bottomRight" activeCell="G280" sqref="G280"/>
    </sheetView>
  </sheetViews>
  <sheetFormatPr defaultColWidth="9.00390625" defaultRowHeight="14.25"/>
  <cols>
    <col min="1" max="2" width="0" style="0" hidden="1" customWidth="1"/>
    <col min="3" max="3" width="20.625" style="0" customWidth="1"/>
    <col min="4" max="4" width="7.75390625" style="12" customWidth="1"/>
    <col min="5" max="5" width="7.00390625" style="12" customWidth="1"/>
    <col min="6" max="6" width="6.75390625" style="12" customWidth="1"/>
    <col min="7" max="7" width="5.875" style="0" customWidth="1"/>
    <col min="8" max="8" width="7.625" style="0" customWidth="1"/>
    <col min="9" max="9" width="7.125" style="0" customWidth="1"/>
    <col min="10" max="10" width="9.125" style="12" customWidth="1"/>
    <col min="11" max="11" width="7.25390625" style="0" customWidth="1"/>
    <col min="12" max="12" width="9.375" style="0" customWidth="1"/>
    <col min="13" max="13" width="7.875" style="0" customWidth="1"/>
    <col min="14" max="14" width="6.375" style="13" customWidth="1"/>
    <col min="15" max="15" width="7.50390625" style="13" customWidth="1"/>
    <col min="16" max="16" width="8.25390625" style="13" customWidth="1"/>
    <col min="17" max="17" width="0" style="13" hidden="1" customWidth="1"/>
    <col min="18" max="18" width="0" style="12" hidden="1" customWidth="1"/>
    <col min="19" max="19" width="9.00390625" style="12" customWidth="1"/>
    <col min="20" max="20" width="1.875" style="1" customWidth="1"/>
    <col min="21" max="21" width="9.625" style="2" customWidth="1"/>
    <col min="22" max="22" width="9.75390625" style="2" customWidth="1"/>
    <col min="23" max="23" width="7.50390625" style="2" customWidth="1"/>
    <col min="24" max="24" width="11.125" style="2" customWidth="1"/>
    <col min="25" max="25" width="12.50390625" style="2" customWidth="1"/>
    <col min="26" max="26" width="13.00390625" style="2" customWidth="1"/>
    <col min="27" max="32" width="10.75390625" style="0" customWidth="1"/>
    <col min="33" max="33" width="10.75390625" style="13" customWidth="1"/>
    <col min="34" max="34" width="24.875" style="13" customWidth="1"/>
    <col min="35" max="35" width="18.50390625" style="0" customWidth="1"/>
    <col min="36" max="36" width="18.25390625" style="0" customWidth="1"/>
  </cols>
  <sheetData>
    <row r="1" spans="1:26" ht="18">
      <c r="A1" s="7"/>
      <c r="B1" s="7"/>
      <c r="C1" s="97" t="s">
        <v>48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99"/>
      <c r="P1" s="99"/>
      <c r="Q1" s="99"/>
      <c r="R1" s="98"/>
      <c r="S1" s="98" t="s">
        <v>49</v>
      </c>
      <c r="T1" s="14"/>
      <c r="U1" s="15"/>
      <c r="V1" s="15"/>
      <c r="W1" s="15"/>
      <c r="X1" s="15"/>
      <c r="Y1" s="15"/>
      <c r="Z1" s="15" t="s">
        <v>49</v>
      </c>
    </row>
    <row r="2" spans="1:26" ht="18">
      <c r="A2" s="16"/>
      <c r="B2" s="16"/>
      <c r="C2" s="100" t="s">
        <v>50</v>
      </c>
      <c r="D2" s="98" t="s">
        <v>51</v>
      </c>
      <c r="E2" s="98"/>
      <c r="F2" s="98"/>
      <c r="G2" s="98"/>
      <c r="H2" s="98"/>
      <c r="I2" s="98"/>
      <c r="J2" s="98"/>
      <c r="K2" s="98"/>
      <c r="L2" s="98"/>
      <c r="M2" s="98"/>
      <c r="N2" s="99"/>
      <c r="O2" s="99"/>
      <c r="P2" s="99"/>
      <c r="Q2" s="99"/>
      <c r="R2" s="98"/>
      <c r="S2" s="98" t="s">
        <v>52</v>
      </c>
      <c r="T2" s="17"/>
      <c r="U2" s="18" t="s">
        <v>53</v>
      </c>
      <c r="V2" s="18"/>
      <c r="W2" s="18"/>
      <c r="X2" s="18"/>
      <c r="Y2" s="18"/>
      <c r="Z2" s="15" t="s">
        <v>52</v>
      </c>
    </row>
    <row r="3" spans="1:34" s="5" customFormat="1" ht="57">
      <c r="A3" s="3"/>
      <c r="B3" s="19" t="s">
        <v>54</v>
      </c>
      <c r="C3" s="101" t="s">
        <v>55</v>
      </c>
      <c r="D3" s="102" t="s">
        <v>3</v>
      </c>
      <c r="E3" s="103" t="s">
        <v>4</v>
      </c>
      <c r="F3" s="104" t="s">
        <v>5</v>
      </c>
      <c r="G3" s="105" t="s">
        <v>6</v>
      </c>
      <c r="H3" s="105" t="s">
        <v>7</v>
      </c>
      <c r="I3" s="105" t="s">
        <v>8</v>
      </c>
      <c r="J3" s="106" t="s">
        <v>9</v>
      </c>
      <c r="K3" s="106" t="s">
        <v>10</v>
      </c>
      <c r="L3" s="106" t="s">
        <v>11</v>
      </c>
      <c r="M3" s="106" t="s">
        <v>12</v>
      </c>
      <c r="N3" s="107" t="s">
        <v>13</v>
      </c>
      <c r="O3" s="107" t="s">
        <v>14</v>
      </c>
      <c r="P3" s="107" t="s">
        <v>15</v>
      </c>
      <c r="Q3" s="107"/>
      <c r="R3" s="108" t="s">
        <v>16</v>
      </c>
      <c r="S3" s="108" t="s">
        <v>17</v>
      </c>
      <c r="T3" s="20"/>
      <c r="U3" s="21" t="s">
        <v>3</v>
      </c>
      <c r="V3" s="22" t="s">
        <v>4</v>
      </c>
      <c r="W3" s="21" t="s">
        <v>5</v>
      </c>
      <c r="X3" s="21" t="s">
        <v>18</v>
      </c>
      <c r="Y3" s="21" t="s">
        <v>16</v>
      </c>
      <c r="Z3" s="21" t="s">
        <v>17</v>
      </c>
      <c r="AG3" s="23"/>
      <c r="AH3" s="23"/>
    </row>
    <row r="4" spans="1:26" ht="14.25">
      <c r="A4" s="16"/>
      <c r="B4" s="16" t="s">
        <v>56</v>
      </c>
      <c r="C4" s="109" t="s">
        <v>57</v>
      </c>
      <c r="D4" s="110" t="s">
        <v>19</v>
      </c>
      <c r="E4" s="110" t="s">
        <v>19</v>
      </c>
      <c r="F4" s="110" t="s">
        <v>19</v>
      </c>
      <c r="G4" s="110"/>
      <c r="H4" s="110"/>
      <c r="I4" s="110" t="s">
        <v>58</v>
      </c>
      <c r="J4" s="110" t="s">
        <v>20</v>
      </c>
      <c r="K4" s="110"/>
      <c r="L4" s="110"/>
      <c r="M4" s="110"/>
      <c r="N4" s="111"/>
      <c r="O4" s="111"/>
      <c r="P4" s="111"/>
      <c r="Q4" s="111"/>
      <c r="R4" s="110" t="s">
        <v>21</v>
      </c>
      <c r="S4" s="110"/>
      <c r="T4" s="24"/>
      <c r="U4" s="25" t="s">
        <v>19</v>
      </c>
      <c r="V4" s="25" t="s">
        <v>19</v>
      </c>
      <c r="W4" s="25" t="s">
        <v>19</v>
      </c>
      <c r="X4" s="25" t="s">
        <v>20</v>
      </c>
      <c r="Y4" s="25" t="s">
        <v>21</v>
      </c>
      <c r="Z4" s="25"/>
    </row>
    <row r="5" spans="1:26" ht="18">
      <c r="A5" s="16"/>
      <c r="B5" s="16"/>
      <c r="C5" s="100"/>
      <c r="D5" s="101" t="s">
        <v>22</v>
      </c>
      <c r="E5" s="101" t="s">
        <v>22</v>
      </c>
      <c r="F5" s="101" t="s">
        <v>22</v>
      </c>
      <c r="G5" s="101" t="s">
        <v>22</v>
      </c>
      <c r="H5" s="101" t="s">
        <v>22</v>
      </c>
      <c r="I5" s="101" t="s">
        <v>22</v>
      </c>
      <c r="J5" s="101" t="s">
        <v>22</v>
      </c>
      <c r="K5" s="101" t="s">
        <v>22</v>
      </c>
      <c r="L5" s="101" t="s">
        <v>22</v>
      </c>
      <c r="M5" s="101" t="s">
        <v>22</v>
      </c>
      <c r="N5" s="112" t="s">
        <v>22</v>
      </c>
      <c r="O5" s="112" t="s">
        <v>22</v>
      </c>
      <c r="P5" s="112" t="s">
        <v>22</v>
      </c>
      <c r="Q5" s="112"/>
      <c r="R5" s="101" t="s">
        <v>22</v>
      </c>
      <c r="S5" s="101" t="s">
        <v>22</v>
      </c>
      <c r="T5" s="26"/>
      <c r="U5" s="27" t="s">
        <v>23</v>
      </c>
      <c r="V5" s="27" t="s">
        <v>23</v>
      </c>
      <c r="W5" s="27" t="s">
        <v>23</v>
      </c>
      <c r="X5" s="27" t="s">
        <v>23</v>
      </c>
      <c r="Y5" s="27" t="s">
        <v>23</v>
      </c>
      <c r="Z5" s="27" t="s">
        <v>23</v>
      </c>
    </row>
    <row r="6" spans="1:26" ht="14.25">
      <c r="A6" s="16"/>
      <c r="B6" s="16"/>
      <c r="C6" s="109" t="s">
        <v>59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3"/>
      <c r="O6" s="114"/>
      <c r="P6" s="113"/>
      <c r="Q6" s="113"/>
      <c r="R6" s="109"/>
      <c r="S6" s="109"/>
      <c r="T6" s="24"/>
      <c r="U6" s="28"/>
      <c r="V6" s="28"/>
      <c r="W6" s="28"/>
      <c r="X6" s="28"/>
      <c r="Y6" s="28"/>
      <c r="Z6" s="28"/>
    </row>
    <row r="7" spans="1:34" ht="14.25">
      <c r="A7" s="16"/>
      <c r="B7" s="16">
        <v>1</v>
      </c>
      <c r="C7" s="109" t="s">
        <v>60</v>
      </c>
      <c r="D7" s="113">
        <f>U7*$E$279/100</f>
        <v>0</v>
      </c>
      <c r="E7" s="113">
        <f>V7*$E$279/100</f>
        <v>0</v>
      </c>
      <c r="F7" s="113">
        <f aca="true" t="shared" si="0" ref="F7:F24">D7+E7</f>
        <v>0</v>
      </c>
      <c r="G7" s="113">
        <f>E7*$G$279/100</f>
        <v>0</v>
      </c>
      <c r="H7" s="113">
        <f aca="true" t="shared" si="1" ref="H7:H13">E7*$H$279/100</f>
        <v>0</v>
      </c>
      <c r="I7" s="113">
        <f aca="true" t="shared" si="2" ref="I7:I24">F7+G7+H7</f>
        <v>0</v>
      </c>
      <c r="J7" s="113">
        <f aca="true" t="shared" si="3" ref="J7:J24">X7*$J$279/100</f>
        <v>0</v>
      </c>
      <c r="K7" s="113">
        <f aca="true" t="shared" si="4" ref="K7:K12">R7*$K$279/100</f>
        <v>2513.959275597546</v>
      </c>
      <c r="L7" s="113">
        <f>R7*$L$279/100</f>
        <v>3839.501439094434</v>
      </c>
      <c r="M7" s="113">
        <f aca="true" t="shared" si="5" ref="M7:M24">R7*$M$279/100</f>
        <v>5667.835457710831</v>
      </c>
      <c r="N7" s="115">
        <v>44</v>
      </c>
      <c r="O7" s="112">
        <v>275</v>
      </c>
      <c r="P7" s="116">
        <v>572</v>
      </c>
      <c r="Q7" s="116"/>
      <c r="R7" s="113">
        <f aca="true" t="shared" si="6" ref="R7:R24">Y7*$R$279/100</f>
        <v>12784.641470736651</v>
      </c>
      <c r="S7" s="112">
        <f aca="true" t="shared" si="7" ref="S7:S24">I7+J7+K7+L7+M7+N7+O7+P7</f>
        <v>12912.29617240281</v>
      </c>
      <c r="T7" s="24"/>
      <c r="U7" s="31">
        <v>0</v>
      </c>
      <c r="V7" s="31">
        <v>0</v>
      </c>
      <c r="W7" s="31">
        <v>0</v>
      </c>
      <c r="X7" s="31">
        <v>0</v>
      </c>
      <c r="Y7" s="31">
        <v>19095.5507583687</v>
      </c>
      <c r="Z7" s="31">
        <v>19095.5507583687</v>
      </c>
      <c r="AG7" s="13">
        <v>2513.959275597546</v>
      </c>
      <c r="AH7" s="13">
        <v>277.14</v>
      </c>
    </row>
    <row r="8" spans="1:34" ht="14.25">
      <c r="A8" s="3"/>
      <c r="B8" s="16">
        <v>2</v>
      </c>
      <c r="C8" s="117" t="s">
        <v>61</v>
      </c>
      <c r="D8" s="113">
        <f>U8*$E$279/100+100</f>
        <v>36494.157330359216</v>
      </c>
      <c r="E8" s="113">
        <f>V8*$E$279/100</f>
        <v>0</v>
      </c>
      <c r="F8" s="113">
        <f t="shared" si="0"/>
        <v>36494.157330359216</v>
      </c>
      <c r="G8" s="113">
        <f>E8*$G$279/100</f>
        <v>0</v>
      </c>
      <c r="H8" s="113">
        <f t="shared" si="1"/>
        <v>0</v>
      </c>
      <c r="I8" s="113">
        <f t="shared" si="2"/>
        <v>36494.157330359216</v>
      </c>
      <c r="J8" s="113">
        <f t="shared" si="3"/>
        <v>0</v>
      </c>
      <c r="K8" s="113">
        <f t="shared" si="4"/>
        <v>0</v>
      </c>
      <c r="L8" s="113">
        <f>R8*$L$279/100</f>
        <v>0</v>
      </c>
      <c r="M8" s="113">
        <f t="shared" si="5"/>
        <v>0</v>
      </c>
      <c r="N8" s="115">
        <v>44</v>
      </c>
      <c r="O8" s="112">
        <v>275</v>
      </c>
      <c r="P8" s="116">
        <v>572</v>
      </c>
      <c r="Q8" s="116"/>
      <c r="R8" s="113">
        <f t="shared" si="6"/>
        <v>0</v>
      </c>
      <c r="S8" s="112">
        <f t="shared" si="7"/>
        <v>37385.157330359216</v>
      </c>
      <c r="U8" s="31">
        <v>40887.5764851414</v>
      </c>
      <c r="V8" s="31">
        <v>0</v>
      </c>
      <c r="W8" s="31">
        <v>40887.5764851414</v>
      </c>
      <c r="X8" s="31">
        <v>0</v>
      </c>
      <c r="Y8" s="31">
        <v>0</v>
      </c>
      <c r="Z8" s="31">
        <v>40887.5764851414</v>
      </c>
      <c r="AG8" s="13">
        <v>0</v>
      </c>
      <c r="AH8" s="13">
        <v>277.14</v>
      </c>
    </row>
    <row r="9" spans="1:34" ht="14.25">
      <c r="A9" s="3"/>
      <c r="B9" s="16">
        <v>3</v>
      </c>
      <c r="C9" s="117" t="s">
        <v>62</v>
      </c>
      <c r="D9" s="118">
        <f>U9*$E$279/100+100</f>
        <v>36494.157330359216</v>
      </c>
      <c r="E9" s="113">
        <f>V9*$E$279/100</f>
        <v>0</v>
      </c>
      <c r="F9" s="113">
        <f t="shared" si="0"/>
        <v>36494.157330359216</v>
      </c>
      <c r="G9" s="113">
        <f>E9*$G$279/100</f>
        <v>0</v>
      </c>
      <c r="H9" s="113">
        <f t="shared" si="1"/>
        <v>0</v>
      </c>
      <c r="I9" s="113">
        <f t="shared" si="2"/>
        <v>36494.157330359216</v>
      </c>
      <c r="J9" s="113">
        <f t="shared" si="3"/>
        <v>0</v>
      </c>
      <c r="K9" s="113">
        <f t="shared" si="4"/>
        <v>0</v>
      </c>
      <c r="L9" s="113">
        <f>R9*$L$279/100</f>
        <v>0</v>
      </c>
      <c r="M9" s="113">
        <f t="shared" si="5"/>
        <v>0</v>
      </c>
      <c r="N9" s="115">
        <v>44</v>
      </c>
      <c r="O9" s="112">
        <v>275</v>
      </c>
      <c r="P9" s="116">
        <v>572</v>
      </c>
      <c r="Q9" s="116"/>
      <c r="R9" s="113">
        <f t="shared" si="6"/>
        <v>0</v>
      </c>
      <c r="S9" s="112">
        <f t="shared" si="7"/>
        <v>37385.157330359216</v>
      </c>
      <c r="U9" s="31">
        <v>40887.5764851414</v>
      </c>
      <c r="V9" s="31">
        <v>0</v>
      </c>
      <c r="W9" s="31">
        <v>40887.5764851414</v>
      </c>
      <c r="X9" s="31">
        <v>0</v>
      </c>
      <c r="Y9" s="31">
        <v>0</v>
      </c>
      <c r="Z9" s="31">
        <v>40887.5764851414</v>
      </c>
      <c r="AG9" s="13">
        <v>0</v>
      </c>
      <c r="AH9" s="13">
        <v>277.14</v>
      </c>
    </row>
    <row r="10" spans="1:34" ht="14.25">
      <c r="A10" s="3"/>
      <c r="B10" s="16">
        <v>4</v>
      </c>
      <c r="C10" s="101" t="s">
        <v>63</v>
      </c>
      <c r="D10" s="113">
        <f>U10*$E$279/100</f>
        <v>316.7978185284366</v>
      </c>
      <c r="E10" s="113">
        <f>V10*$E$279/100</f>
        <v>0</v>
      </c>
      <c r="F10" s="113">
        <f t="shared" si="0"/>
        <v>316.7978185284366</v>
      </c>
      <c r="G10" s="113">
        <f>E10*$G$279/100</f>
        <v>0</v>
      </c>
      <c r="H10" s="113">
        <f t="shared" si="1"/>
        <v>0</v>
      </c>
      <c r="I10" s="113">
        <f t="shared" si="2"/>
        <v>316.7978185284366</v>
      </c>
      <c r="J10" s="113">
        <f t="shared" si="3"/>
        <v>1439.334985879989</v>
      </c>
      <c r="K10" s="113">
        <f t="shared" si="4"/>
        <v>2784.265002969147</v>
      </c>
      <c r="L10" s="113">
        <f>R10*$L$279/100</f>
        <v>4252.332004534697</v>
      </c>
      <c r="M10" s="113">
        <f t="shared" si="5"/>
        <v>6277.252006694077</v>
      </c>
      <c r="N10" s="115">
        <v>44</v>
      </c>
      <c r="O10" s="112">
        <v>275</v>
      </c>
      <c r="P10" s="116">
        <v>572</v>
      </c>
      <c r="Q10" s="116"/>
      <c r="R10" s="113">
        <f t="shared" si="6"/>
        <v>14159.270664406147</v>
      </c>
      <c r="S10" s="112">
        <f t="shared" si="7"/>
        <v>15960.981818606346</v>
      </c>
      <c r="U10" s="31">
        <v>355.911387584243</v>
      </c>
      <c r="V10" s="31">
        <v>0</v>
      </c>
      <c r="W10" s="31">
        <v>355.911387584243</v>
      </c>
      <c r="X10" s="31">
        <v>333.83038522026</v>
      </c>
      <c r="Y10" s="31">
        <v>21148.7410337264</v>
      </c>
      <c r="Z10" s="31">
        <v>21839.4828065309</v>
      </c>
      <c r="AG10" s="13">
        <v>2784.265002969147</v>
      </c>
      <c r="AH10" s="13">
        <v>277.14</v>
      </c>
    </row>
    <row r="11" spans="1:34" ht="14.25">
      <c r="A11" s="3"/>
      <c r="B11" s="16">
        <v>5</v>
      </c>
      <c r="C11" s="117" t="s">
        <v>64</v>
      </c>
      <c r="D11" s="113">
        <f>U11*$E$279/100+100</f>
        <v>1654.4212962461997</v>
      </c>
      <c r="E11" s="113">
        <f>V11*$E$279/100</f>
        <v>50.97882350992805</v>
      </c>
      <c r="F11" s="113">
        <f t="shared" si="0"/>
        <v>1705.4001197561279</v>
      </c>
      <c r="G11" s="113">
        <f>E11*$G$279/100</f>
        <v>6.170815902223303</v>
      </c>
      <c r="H11" s="113">
        <f t="shared" si="1"/>
        <v>5.779839692869797</v>
      </c>
      <c r="I11" s="113">
        <f t="shared" si="2"/>
        <v>1717.3507753512208</v>
      </c>
      <c r="J11" s="113">
        <f t="shared" si="3"/>
        <v>644.8220736742331</v>
      </c>
      <c r="K11" s="113">
        <f t="shared" si="4"/>
        <v>774.1803522144728</v>
      </c>
      <c r="L11" s="113">
        <f>R11*$L$279/100</f>
        <v>1182.3845379275583</v>
      </c>
      <c r="M11" s="113">
        <f t="shared" si="5"/>
        <v>1745.4247940835385</v>
      </c>
      <c r="N11" s="115">
        <v>44</v>
      </c>
      <c r="O11" s="112">
        <v>275</v>
      </c>
      <c r="P11" s="116">
        <v>572</v>
      </c>
      <c r="Q11" s="116"/>
      <c r="R11" s="113">
        <f t="shared" si="6"/>
        <v>3937.0638708529114</v>
      </c>
      <c r="S11" s="112">
        <f t="shared" si="7"/>
        <v>6955.162533251024</v>
      </c>
      <c r="U11" s="31">
        <v>1746.33854174669</v>
      </c>
      <c r="V11" s="31">
        <v>57.2729442933398</v>
      </c>
      <c r="W11" s="31">
        <v>1802.61148604003</v>
      </c>
      <c r="X11" s="31">
        <v>149.556012578676</v>
      </c>
      <c r="Y11" s="31">
        <v>5880.52493743334</v>
      </c>
      <c r="Z11" s="31">
        <v>7833.69243605205</v>
      </c>
      <c r="AG11" s="13">
        <v>774.1803522144728</v>
      </c>
      <c r="AH11" s="13">
        <v>277.14</v>
      </c>
    </row>
    <row r="12" spans="1:34" ht="14.25">
      <c r="A12" s="3"/>
      <c r="B12" s="16">
        <v>6</v>
      </c>
      <c r="C12" s="117" t="s">
        <v>65</v>
      </c>
      <c r="D12" s="113">
        <v>200</v>
      </c>
      <c r="E12" s="113">
        <f>V12*$E$279/100+25</f>
        <v>1050.4586421420163</v>
      </c>
      <c r="F12" s="113">
        <f t="shared" si="0"/>
        <v>1250.4586421420163</v>
      </c>
      <c r="G12" s="113">
        <f>E12*$G$279/100-6</f>
        <v>121.15450156074034</v>
      </c>
      <c r="H12" s="113">
        <f t="shared" si="1"/>
        <v>119.09813011648107</v>
      </c>
      <c r="I12" s="113">
        <f t="shared" si="2"/>
        <v>1490.7112738192377</v>
      </c>
      <c r="J12" s="113">
        <f t="shared" si="3"/>
        <v>5314.02476786892</v>
      </c>
      <c r="K12" s="113">
        <f t="shared" si="4"/>
        <v>3589.7683364670143</v>
      </c>
      <c r="L12" s="113">
        <f>R12*$L$279/100-483</f>
        <v>4999.555277513257</v>
      </c>
      <c r="M12" s="113">
        <f t="shared" si="5"/>
        <v>8093.295885852904</v>
      </c>
      <c r="N12" s="115">
        <v>44</v>
      </c>
      <c r="O12" s="112">
        <v>275</v>
      </c>
      <c r="P12" s="116">
        <v>572</v>
      </c>
      <c r="Q12" s="116"/>
      <c r="R12" s="113">
        <f t="shared" si="6"/>
        <v>18255.626330233583</v>
      </c>
      <c r="S12" s="112">
        <f t="shared" si="7"/>
        <v>24378.355541521334</v>
      </c>
      <c r="U12" s="31">
        <v>0</v>
      </c>
      <c r="V12" s="31">
        <v>1152.06730251603</v>
      </c>
      <c r="W12" s="31">
        <v>1152.06730251603</v>
      </c>
      <c r="X12" s="31">
        <v>1232.5017822332</v>
      </c>
      <c r="Y12" s="31">
        <v>27267.1893077891</v>
      </c>
      <c r="Z12" s="31">
        <v>29651.7583925384</v>
      </c>
      <c r="AG12" s="13">
        <v>3589.7683364670143</v>
      </c>
      <c r="AH12" s="13">
        <v>277.14</v>
      </c>
    </row>
    <row r="13" spans="1:34" ht="14.25">
      <c r="A13" s="3"/>
      <c r="B13" s="16">
        <v>7</v>
      </c>
      <c r="C13" s="117" t="s">
        <v>66</v>
      </c>
      <c r="D13" s="113">
        <f aca="true" t="shared" si="8" ref="D13:E19">U13*$E$279/100</f>
        <v>0</v>
      </c>
      <c r="E13" s="113">
        <f t="shared" si="8"/>
        <v>0</v>
      </c>
      <c r="F13" s="113">
        <f t="shared" si="0"/>
        <v>0</v>
      </c>
      <c r="G13" s="113">
        <f aca="true" t="shared" si="9" ref="G13:G24">E13*$G$279/100</f>
        <v>0</v>
      </c>
      <c r="H13" s="113">
        <f t="shared" si="1"/>
        <v>0</v>
      </c>
      <c r="I13" s="113">
        <f t="shared" si="2"/>
        <v>0</v>
      </c>
      <c r="J13" s="113">
        <f t="shared" si="3"/>
        <v>13829.130544334988</v>
      </c>
      <c r="K13" s="113">
        <f>R13*$K$279/100-500</f>
        <v>9909.284076378222</v>
      </c>
      <c r="L13" s="113">
        <f>R13*$L$279/100-198</f>
        <v>15699.815680286738</v>
      </c>
      <c r="M13" s="113">
        <f t="shared" si="5"/>
        <v>23468.2040994709</v>
      </c>
      <c r="N13" s="115">
        <v>44</v>
      </c>
      <c r="O13" s="112">
        <v>275</v>
      </c>
      <c r="P13" s="116">
        <v>572</v>
      </c>
      <c r="Q13" s="116"/>
      <c r="R13" s="113">
        <f t="shared" si="6"/>
        <v>52936.006631178214</v>
      </c>
      <c r="S13" s="112">
        <f t="shared" si="7"/>
        <v>63797.43440047084</v>
      </c>
      <c r="U13" s="31">
        <v>0</v>
      </c>
      <c r="V13" s="31">
        <v>0</v>
      </c>
      <c r="W13" s="31">
        <v>0</v>
      </c>
      <c r="X13" s="31">
        <v>3207.44234119627</v>
      </c>
      <c r="Y13" s="31">
        <v>79066.9182147007</v>
      </c>
      <c r="Z13" s="31">
        <v>82274.360555897</v>
      </c>
      <c r="AG13" s="13">
        <v>9909.284076378222</v>
      </c>
      <c r="AH13" s="13">
        <v>277.14</v>
      </c>
    </row>
    <row r="14" spans="1:34" ht="14.25">
      <c r="A14" s="3"/>
      <c r="B14" s="16">
        <v>8</v>
      </c>
      <c r="C14" s="117" t="s">
        <v>67</v>
      </c>
      <c r="D14" s="113">
        <f t="shared" si="8"/>
        <v>0</v>
      </c>
      <c r="E14" s="113">
        <f t="shared" si="8"/>
        <v>478.41665140086275</v>
      </c>
      <c r="F14" s="113">
        <f t="shared" si="0"/>
        <v>478.41665140086275</v>
      </c>
      <c r="G14" s="113">
        <f t="shared" si="9"/>
        <v>57.91073385163402</v>
      </c>
      <c r="H14" s="113">
        <f>E14*$H$279/100+10</f>
        <v>64.2415725023165</v>
      </c>
      <c r="I14" s="113">
        <f t="shared" si="2"/>
        <v>600.5689577548133</v>
      </c>
      <c r="J14" s="113">
        <f t="shared" si="3"/>
        <v>0</v>
      </c>
      <c r="K14" s="113">
        <f>R14*$K$279/100</f>
        <v>4953.2847809766145</v>
      </c>
      <c r="L14" s="113">
        <f>R14*$L$279/100</f>
        <v>7565.016756400648</v>
      </c>
      <c r="M14" s="113">
        <f t="shared" si="5"/>
        <v>11167.405688020002</v>
      </c>
      <c r="N14" s="115">
        <v>44</v>
      </c>
      <c r="O14" s="112">
        <v>275</v>
      </c>
      <c r="P14" s="116">
        <v>572</v>
      </c>
      <c r="Q14" s="116"/>
      <c r="R14" s="113">
        <f t="shared" si="6"/>
        <v>25189.73582505242</v>
      </c>
      <c r="S14" s="112">
        <f t="shared" si="7"/>
        <v>25177.276183152077</v>
      </c>
      <c r="U14" s="31">
        <v>0</v>
      </c>
      <c r="V14" s="31">
        <v>537.484554137496</v>
      </c>
      <c r="W14" s="31">
        <v>537.484554137496</v>
      </c>
      <c r="X14" s="31">
        <v>0</v>
      </c>
      <c r="Y14" s="31">
        <v>37624.1977640278</v>
      </c>
      <c r="Z14" s="31">
        <v>38160.6823181653</v>
      </c>
      <c r="AG14" s="13">
        <v>4953.2847809766145</v>
      </c>
      <c r="AH14" s="13">
        <v>277.14</v>
      </c>
    </row>
    <row r="15" spans="1:34" ht="14.25">
      <c r="A15" s="3"/>
      <c r="B15" s="16">
        <v>9</v>
      </c>
      <c r="C15" s="101" t="s">
        <v>68</v>
      </c>
      <c r="D15" s="113">
        <f t="shared" si="8"/>
        <v>0</v>
      </c>
      <c r="E15" s="113">
        <f t="shared" si="8"/>
        <v>0</v>
      </c>
      <c r="F15" s="113">
        <f t="shared" si="0"/>
        <v>0</v>
      </c>
      <c r="G15" s="113">
        <f t="shared" si="9"/>
        <v>0</v>
      </c>
      <c r="H15" s="113">
        <f aca="true" t="shared" si="10" ref="H15:H24">E15*$H$279/100</f>
        <v>0</v>
      </c>
      <c r="I15" s="113">
        <f t="shared" si="2"/>
        <v>0</v>
      </c>
      <c r="J15" s="113">
        <f t="shared" si="3"/>
        <v>0</v>
      </c>
      <c r="K15" s="113">
        <f>R15*$K$279/100</f>
        <v>3589.7683364670143</v>
      </c>
      <c r="L15" s="113">
        <f>R15*$L$279/100</f>
        <v>5482.555277513257</v>
      </c>
      <c r="M15" s="113">
        <f t="shared" si="5"/>
        <v>8093.295885852904</v>
      </c>
      <c r="N15" s="115">
        <v>44</v>
      </c>
      <c r="O15" s="112">
        <v>275</v>
      </c>
      <c r="P15" s="116">
        <v>572</v>
      </c>
      <c r="Q15" s="116"/>
      <c r="R15" s="113">
        <f t="shared" si="6"/>
        <v>18255.626330233583</v>
      </c>
      <c r="S15" s="112">
        <f t="shared" si="7"/>
        <v>18056.619499833178</v>
      </c>
      <c r="U15" s="31">
        <v>0</v>
      </c>
      <c r="V15" s="31">
        <v>0</v>
      </c>
      <c r="W15" s="31">
        <v>0</v>
      </c>
      <c r="X15" s="31">
        <v>0</v>
      </c>
      <c r="Y15" s="31">
        <v>27267.1893077891</v>
      </c>
      <c r="Z15" s="31">
        <v>27267.1893077891</v>
      </c>
      <c r="AG15" s="13">
        <v>3589.7683364670143</v>
      </c>
      <c r="AH15" s="13">
        <v>277.14</v>
      </c>
    </row>
    <row r="16" spans="1:34" ht="14.25">
      <c r="A16" s="3"/>
      <c r="B16" s="16">
        <v>10</v>
      </c>
      <c r="C16" s="117" t="s">
        <v>69</v>
      </c>
      <c r="D16" s="113">
        <f t="shared" si="8"/>
        <v>0</v>
      </c>
      <c r="E16" s="113">
        <f t="shared" si="8"/>
        <v>0</v>
      </c>
      <c r="F16" s="113">
        <f t="shared" si="0"/>
        <v>0</v>
      </c>
      <c r="G16" s="113">
        <f t="shared" si="9"/>
        <v>0</v>
      </c>
      <c r="H16" s="113">
        <f t="shared" si="10"/>
        <v>0</v>
      </c>
      <c r="I16" s="113">
        <f t="shared" si="2"/>
        <v>0</v>
      </c>
      <c r="J16" s="113">
        <f t="shared" si="3"/>
        <v>0</v>
      </c>
      <c r="K16" s="113">
        <f>R16*$K$279/100-500</f>
        <v>7445.549623492179</v>
      </c>
      <c r="L16" s="113">
        <f>R16*$L$279/100</f>
        <v>12135.021243151692</v>
      </c>
      <c r="M16" s="113">
        <f t="shared" si="5"/>
        <v>17913.60278750964</v>
      </c>
      <c r="N16" s="115">
        <v>44</v>
      </c>
      <c r="O16" s="112">
        <v>275</v>
      </c>
      <c r="P16" s="116">
        <v>572</v>
      </c>
      <c r="Q16" s="116"/>
      <c r="R16" s="113">
        <f t="shared" si="6"/>
        <v>40406.78152996301</v>
      </c>
      <c r="S16" s="112">
        <f t="shared" si="7"/>
        <v>38385.173654153514</v>
      </c>
      <c r="U16" s="31">
        <v>0</v>
      </c>
      <c r="V16" s="31">
        <v>0</v>
      </c>
      <c r="W16" s="31">
        <v>0</v>
      </c>
      <c r="X16" s="31">
        <v>0</v>
      </c>
      <c r="Y16" s="31">
        <v>60352.8655421312</v>
      </c>
      <c r="Z16" s="31">
        <v>60352.8655421312</v>
      </c>
      <c r="AG16" s="13">
        <v>7445.549623492179</v>
      </c>
      <c r="AH16" s="13">
        <v>277.14</v>
      </c>
    </row>
    <row r="17" spans="1:34" ht="14.25">
      <c r="A17" s="3"/>
      <c r="B17" s="16">
        <v>11</v>
      </c>
      <c r="C17" s="117" t="s">
        <v>70</v>
      </c>
      <c r="D17" s="113">
        <f t="shared" si="8"/>
        <v>0</v>
      </c>
      <c r="E17" s="113">
        <f t="shared" si="8"/>
        <v>0</v>
      </c>
      <c r="F17" s="113">
        <f t="shared" si="0"/>
        <v>0</v>
      </c>
      <c r="G17" s="113">
        <f t="shared" si="9"/>
        <v>0</v>
      </c>
      <c r="H17" s="113">
        <f t="shared" si="10"/>
        <v>0</v>
      </c>
      <c r="I17" s="113">
        <f t="shared" si="2"/>
        <v>0</v>
      </c>
      <c r="J17" s="113">
        <f t="shared" si="3"/>
        <v>0</v>
      </c>
      <c r="K17" s="113">
        <f>R17*$K$279/100</f>
        <v>0</v>
      </c>
      <c r="L17" s="113">
        <f>R17*$L$279/100</f>
        <v>0</v>
      </c>
      <c r="M17" s="113">
        <f t="shared" si="5"/>
        <v>0</v>
      </c>
      <c r="N17" s="115">
        <v>44</v>
      </c>
      <c r="O17" s="112">
        <v>275</v>
      </c>
      <c r="P17" s="116">
        <v>572</v>
      </c>
      <c r="Q17" s="116"/>
      <c r="R17" s="113">
        <f t="shared" si="6"/>
        <v>0</v>
      </c>
      <c r="S17" s="112">
        <f t="shared" si="7"/>
        <v>891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G17" s="13">
        <v>0</v>
      </c>
      <c r="AH17" s="13">
        <v>277.14</v>
      </c>
    </row>
    <row r="18" spans="1:34" ht="14.25">
      <c r="A18" s="3"/>
      <c r="B18" s="16">
        <v>12</v>
      </c>
      <c r="C18" s="117" t="s">
        <v>71</v>
      </c>
      <c r="D18" s="113">
        <f t="shared" si="8"/>
        <v>0</v>
      </c>
      <c r="E18" s="113">
        <f t="shared" si="8"/>
        <v>0</v>
      </c>
      <c r="F18" s="113">
        <f t="shared" si="0"/>
        <v>0</v>
      </c>
      <c r="G18" s="113">
        <f t="shared" si="9"/>
        <v>0</v>
      </c>
      <c r="H18" s="113">
        <f t="shared" si="10"/>
        <v>0</v>
      </c>
      <c r="I18" s="113">
        <f t="shared" si="2"/>
        <v>0</v>
      </c>
      <c r="J18" s="113">
        <f t="shared" si="3"/>
        <v>112049.3499807854</v>
      </c>
      <c r="K18" s="113">
        <f>R18*$K$279/100-200</f>
        <v>4481.045536241863</v>
      </c>
      <c r="L18" s="113">
        <f>R18*$L$279/100-149</f>
        <v>7000.233182623937</v>
      </c>
      <c r="M18" s="113">
        <f t="shared" si="5"/>
        <v>10553.629936254383</v>
      </c>
      <c r="N18" s="115">
        <v>44</v>
      </c>
      <c r="O18" s="112">
        <v>275</v>
      </c>
      <c r="P18" s="116">
        <v>572</v>
      </c>
      <c r="Q18" s="116"/>
      <c r="R18" s="113">
        <f t="shared" si="6"/>
        <v>23805.27380453276</v>
      </c>
      <c r="S18" s="112">
        <f t="shared" si="7"/>
        <v>134975.25863590557</v>
      </c>
      <c r="U18" s="31">
        <v>0</v>
      </c>
      <c r="V18" s="31">
        <v>0</v>
      </c>
      <c r="W18" s="31">
        <v>0</v>
      </c>
      <c r="X18" s="31">
        <v>25988.0278286268</v>
      </c>
      <c r="Y18" s="31">
        <v>35556.3208629524</v>
      </c>
      <c r="Z18" s="31">
        <v>61544.3486915792</v>
      </c>
      <c r="AG18" s="13">
        <v>4481.045536241863</v>
      </c>
      <c r="AH18" s="13">
        <v>277.14</v>
      </c>
    </row>
    <row r="19" spans="1:34" ht="14.25">
      <c r="A19" s="3"/>
      <c r="B19" s="16">
        <v>13</v>
      </c>
      <c r="C19" s="101" t="s">
        <v>72</v>
      </c>
      <c r="D19" s="113">
        <f t="shared" si="8"/>
        <v>0</v>
      </c>
      <c r="E19" s="113">
        <f t="shared" si="8"/>
        <v>0</v>
      </c>
      <c r="F19" s="113">
        <f t="shared" si="0"/>
        <v>0</v>
      </c>
      <c r="G19" s="113">
        <f t="shared" si="9"/>
        <v>0</v>
      </c>
      <c r="H19" s="113">
        <f t="shared" si="10"/>
        <v>0</v>
      </c>
      <c r="I19" s="113">
        <f t="shared" si="2"/>
        <v>0</v>
      </c>
      <c r="J19" s="113">
        <f t="shared" si="3"/>
        <v>0</v>
      </c>
      <c r="K19" s="113">
        <f aca="true" t="shared" si="11" ref="K19:K24">R19*$K$279/100</f>
        <v>0</v>
      </c>
      <c r="L19" s="113">
        <f aca="true" t="shared" si="12" ref="L19:L24">R19*$L$279/100</f>
        <v>0</v>
      </c>
      <c r="M19" s="113">
        <f t="shared" si="5"/>
        <v>0</v>
      </c>
      <c r="N19" s="115">
        <v>44</v>
      </c>
      <c r="O19" s="112">
        <v>275</v>
      </c>
      <c r="P19" s="116">
        <v>572</v>
      </c>
      <c r="Q19" s="116"/>
      <c r="R19" s="113">
        <f t="shared" si="6"/>
        <v>0</v>
      </c>
      <c r="S19" s="112">
        <f t="shared" si="7"/>
        <v>891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G19" s="13">
        <v>0</v>
      </c>
      <c r="AH19" s="13">
        <v>277.14</v>
      </c>
    </row>
    <row r="20" spans="1:34" ht="14.25">
      <c r="A20" s="3"/>
      <c r="B20" s="16">
        <v>14</v>
      </c>
      <c r="C20" s="117" t="s">
        <v>73</v>
      </c>
      <c r="D20" s="113">
        <v>500</v>
      </c>
      <c r="E20" s="113">
        <f>V20*$E$279/100</f>
        <v>0</v>
      </c>
      <c r="F20" s="113">
        <f t="shared" si="0"/>
        <v>500</v>
      </c>
      <c r="G20" s="113">
        <f t="shared" si="9"/>
        <v>0</v>
      </c>
      <c r="H20" s="113">
        <f t="shared" si="10"/>
        <v>0</v>
      </c>
      <c r="I20" s="113">
        <f t="shared" si="2"/>
        <v>500</v>
      </c>
      <c r="J20" s="113">
        <f t="shared" si="3"/>
        <v>43.115757270876394</v>
      </c>
      <c r="K20" s="113">
        <f t="shared" si="11"/>
        <v>65.82578600137505</v>
      </c>
      <c r="L20" s="113">
        <f t="shared" si="12"/>
        <v>100.53392771119097</v>
      </c>
      <c r="M20" s="113">
        <f t="shared" si="5"/>
        <v>148.40722662128192</v>
      </c>
      <c r="N20" s="115">
        <v>44</v>
      </c>
      <c r="O20" s="112">
        <v>275</v>
      </c>
      <c r="P20" s="116">
        <v>572</v>
      </c>
      <c r="Q20" s="116"/>
      <c r="R20" s="113">
        <f t="shared" si="6"/>
        <v>334.7544575307348</v>
      </c>
      <c r="S20" s="112">
        <f t="shared" si="7"/>
        <v>1748.8826976047244</v>
      </c>
      <c r="U20" s="31">
        <v>0</v>
      </c>
      <c r="V20" s="31">
        <v>0</v>
      </c>
      <c r="W20" s="31">
        <v>0</v>
      </c>
      <c r="X20" s="31">
        <v>10</v>
      </c>
      <c r="Y20" s="31">
        <v>500</v>
      </c>
      <c r="Z20" s="31">
        <v>510</v>
      </c>
      <c r="AG20" s="13">
        <v>65.82578600137505</v>
      </c>
      <c r="AH20" s="13">
        <v>277.14</v>
      </c>
    </row>
    <row r="21" spans="1:34" ht="14.25">
      <c r="A21" s="3"/>
      <c r="B21" s="16">
        <v>15</v>
      </c>
      <c r="C21" s="117" t="s">
        <v>74</v>
      </c>
      <c r="D21" s="113">
        <f>U21*$E$279/100+200</f>
        <v>689.5566881781731</v>
      </c>
      <c r="E21" s="113">
        <f>V21*$E$279/100</f>
        <v>0</v>
      </c>
      <c r="F21" s="113">
        <f t="shared" si="0"/>
        <v>689.5566881781731</v>
      </c>
      <c r="G21" s="113">
        <f t="shared" si="9"/>
        <v>0</v>
      </c>
      <c r="H21" s="113">
        <f t="shared" si="10"/>
        <v>0</v>
      </c>
      <c r="I21" s="113">
        <f t="shared" si="2"/>
        <v>689.5566881781731</v>
      </c>
      <c r="J21" s="113">
        <f t="shared" si="3"/>
        <v>43.115757270876394</v>
      </c>
      <c r="K21" s="113">
        <f t="shared" si="11"/>
        <v>65.82578600137505</v>
      </c>
      <c r="L21" s="113">
        <f t="shared" si="12"/>
        <v>100.53392771119097</v>
      </c>
      <c r="M21" s="113">
        <f t="shared" si="5"/>
        <v>148.40722662128192</v>
      </c>
      <c r="N21" s="115">
        <v>44</v>
      </c>
      <c r="O21" s="112">
        <v>275</v>
      </c>
      <c r="P21" s="116">
        <v>572</v>
      </c>
      <c r="Q21" s="116"/>
      <c r="R21" s="113">
        <f t="shared" si="6"/>
        <v>334.7544575307348</v>
      </c>
      <c r="S21" s="112">
        <f t="shared" si="7"/>
        <v>1938.4393857828975</v>
      </c>
      <c r="U21" s="31">
        <v>550</v>
      </c>
      <c r="V21" s="31">
        <v>0</v>
      </c>
      <c r="W21" s="31">
        <v>550</v>
      </c>
      <c r="X21" s="31">
        <v>10</v>
      </c>
      <c r="Y21" s="31">
        <v>500</v>
      </c>
      <c r="Z21" s="31">
        <v>1060</v>
      </c>
      <c r="AG21" s="13">
        <v>65.82578600137505</v>
      </c>
      <c r="AH21" s="13">
        <v>277.14</v>
      </c>
    </row>
    <row r="22" spans="1:34" ht="14.25">
      <c r="A22" s="3"/>
      <c r="B22" s="16">
        <v>16</v>
      </c>
      <c r="C22" s="117" t="s">
        <v>75</v>
      </c>
      <c r="D22" s="113">
        <f>U22*$E$279/100+200</f>
        <v>693.1171004558325</v>
      </c>
      <c r="E22" s="113">
        <f>V22*$E$279/100</f>
        <v>0</v>
      </c>
      <c r="F22" s="113">
        <f t="shared" si="0"/>
        <v>693.1171004558325</v>
      </c>
      <c r="G22" s="113">
        <f t="shared" si="9"/>
        <v>0</v>
      </c>
      <c r="H22" s="113">
        <f t="shared" si="10"/>
        <v>0</v>
      </c>
      <c r="I22" s="113">
        <f t="shared" si="2"/>
        <v>693.1171004558325</v>
      </c>
      <c r="J22" s="113">
        <f t="shared" si="3"/>
        <v>43.115757270876394</v>
      </c>
      <c r="K22" s="113">
        <f t="shared" si="11"/>
        <v>65.82578600137505</v>
      </c>
      <c r="L22" s="113">
        <f t="shared" si="12"/>
        <v>100.53392771119097</v>
      </c>
      <c r="M22" s="113">
        <f t="shared" si="5"/>
        <v>148.40722662128192</v>
      </c>
      <c r="N22" s="115">
        <v>44</v>
      </c>
      <c r="O22" s="112">
        <v>275</v>
      </c>
      <c r="P22" s="116">
        <v>572</v>
      </c>
      <c r="Q22" s="116"/>
      <c r="R22" s="113">
        <f t="shared" si="6"/>
        <v>334.7544575307348</v>
      </c>
      <c r="S22" s="112">
        <f t="shared" si="7"/>
        <v>1941.999798060557</v>
      </c>
      <c r="U22" s="31">
        <v>554</v>
      </c>
      <c r="V22" s="31">
        <v>0</v>
      </c>
      <c r="W22" s="31">
        <v>554</v>
      </c>
      <c r="X22" s="31">
        <v>10</v>
      </c>
      <c r="Y22" s="31">
        <v>500</v>
      </c>
      <c r="Z22" s="31">
        <v>1064</v>
      </c>
      <c r="AG22" s="13">
        <v>65.82578600137505</v>
      </c>
      <c r="AH22" s="13">
        <v>277.14</v>
      </c>
    </row>
    <row r="23" spans="1:34" ht="14.25">
      <c r="A23" s="3"/>
      <c r="B23" s="16">
        <v>17</v>
      </c>
      <c r="C23" s="117" t="s">
        <v>76</v>
      </c>
      <c r="D23" s="113">
        <f>U23*$E$279/100</f>
        <v>0</v>
      </c>
      <c r="E23" s="113">
        <f>V23*$E$279/100</f>
        <v>0</v>
      </c>
      <c r="F23" s="113">
        <f t="shared" si="0"/>
        <v>0</v>
      </c>
      <c r="G23" s="113">
        <f t="shared" si="9"/>
        <v>0</v>
      </c>
      <c r="H23" s="113">
        <f t="shared" si="10"/>
        <v>0</v>
      </c>
      <c r="I23" s="113">
        <f t="shared" si="2"/>
        <v>0</v>
      </c>
      <c r="J23" s="113">
        <f t="shared" si="3"/>
        <v>43.115757270876394</v>
      </c>
      <c r="K23" s="113">
        <f t="shared" si="11"/>
        <v>65.82578600137505</v>
      </c>
      <c r="L23" s="113">
        <f t="shared" si="12"/>
        <v>100.53392771119097</v>
      </c>
      <c r="M23" s="113">
        <f t="shared" si="5"/>
        <v>148.40722662128192</v>
      </c>
      <c r="N23" s="115">
        <v>44</v>
      </c>
      <c r="O23" s="112">
        <v>275</v>
      </c>
      <c r="P23" s="116">
        <v>572</v>
      </c>
      <c r="Q23" s="116"/>
      <c r="R23" s="113">
        <f t="shared" si="6"/>
        <v>334.7544575307348</v>
      </c>
      <c r="S23" s="112">
        <f t="shared" si="7"/>
        <v>1248.8826976047244</v>
      </c>
      <c r="U23" s="31">
        <v>0</v>
      </c>
      <c r="V23" s="31">
        <v>0</v>
      </c>
      <c r="W23" s="31">
        <v>0</v>
      </c>
      <c r="X23" s="31">
        <v>10</v>
      </c>
      <c r="Y23" s="31">
        <v>500</v>
      </c>
      <c r="Z23" s="31">
        <v>510</v>
      </c>
      <c r="AG23" s="13">
        <v>65.82578600137505</v>
      </c>
      <c r="AH23" s="13">
        <v>277.14</v>
      </c>
    </row>
    <row r="24" spans="1:34" ht="14.25">
      <c r="A24" s="3">
        <v>4</v>
      </c>
      <c r="B24" s="16">
        <v>18</v>
      </c>
      <c r="C24" s="117" t="s">
        <v>77</v>
      </c>
      <c r="D24" s="113">
        <f>U24*$E$279/100</f>
        <v>0</v>
      </c>
      <c r="E24" s="113">
        <f>V24*$E$279/100</f>
        <v>0</v>
      </c>
      <c r="F24" s="113">
        <f t="shared" si="0"/>
        <v>0</v>
      </c>
      <c r="G24" s="113">
        <f t="shared" si="9"/>
        <v>0</v>
      </c>
      <c r="H24" s="113">
        <f t="shared" si="10"/>
        <v>0</v>
      </c>
      <c r="I24" s="113">
        <f t="shared" si="2"/>
        <v>0</v>
      </c>
      <c r="J24" s="113">
        <f t="shared" si="3"/>
        <v>3454403.9661119785</v>
      </c>
      <c r="K24" s="113">
        <f t="shared" si="11"/>
        <v>658.2578600137505</v>
      </c>
      <c r="L24" s="113">
        <f t="shared" si="12"/>
        <v>1005.3392771119096</v>
      </c>
      <c r="M24" s="113">
        <f t="shared" si="5"/>
        <v>1484.0722662128192</v>
      </c>
      <c r="N24" s="115">
        <v>44</v>
      </c>
      <c r="O24" s="112">
        <v>275</v>
      </c>
      <c r="P24" s="116">
        <v>572</v>
      </c>
      <c r="Q24" s="116"/>
      <c r="R24" s="113">
        <f t="shared" si="6"/>
        <v>3347.5445753073477</v>
      </c>
      <c r="S24" s="112">
        <f t="shared" si="7"/>
        <v>3458442.635515317</v>
      </c>
      <c r="U24" s="31">
        <v>0</v>
      </c>
      <c r="V24" s="31">
        <v>0</v>
      </c>
      <c r="W24" s="31">
        <v>0</v>
      </c>
      <c r="X24" s="31">
        <v>801192.924528625</v>
      </c>
      <c r="Y24" s="31">
        <v>5000</v>
      </c>
      <c r="Z24" s="31">
        <v>806192.924528625</v>
      </c>
      <c r="AG24" s="13">
        <v>658.2578600137505</v>
      </c>
      <c r="AH24" s="13">
        <v>277.14</v>
      </c>
    </row>
    <row r="25" spans="1:26" ht="14.25">
      <c r="A25" s="3">
        <v>18</v>
      </c>
      <c r="B25" s="3"/>
      <c r="C25" s="101" t="s">
        <v>78</v>
      </c>
      <c r="D25" s="112">
        <f aca="true" t="shared" si="13" ref="D25:P25">SUM(D7:D24)</f>
        <v>77042.20756412706</v>
      </c>
      <c r="E25" s="112">
        <f t="shared" si="13"/>
        <v>1579.8541170528072</v>
      </c>
      <c r="F25" s="112">
        <f t="shared" si="13"/>
        <v>78622.06168117987</v>
      </c>
      <c r="G25" s="112">
        <f t="shared" si="13"/>
        <v>185.23605131459766</v>
      </c>
      <c r="H25" s="112">
        <f t="shared" si="13"/>
        <v>189.11954231166737</v>
      </c>
      <c r="I25" s="113">
        <f t="shared" si="13"/>
        <v>78996.41727480614</v>
      </c>
      <c r="J25" s="112">
        <f t="shared" si="13"/>
        <v>3587853.0914936056</v>
      </c>
      <c r="K25" s="112">
        <f t="shared" si="13"/>
        <v>40962.66632482333</v>
      </c>
      <c r="L25" s="112">
        <f t="shared" si="13"/>
        <v>63563.8903870029</v>
      </c>
      <c r="M25" s="112">
        <f t="shared" si="13"/>
        <v>95057.6477141471</v>
      </c>
      <c r="N25" s="119">
        <f t="shared" si="13"/>
        <v>792</v>
      </c>
      <c r="O25" s="112">
        <f t="shared" si="13"/>
        <v>4950</v>
      </c>
      <c r="P25" s="120">
        <f t="shared" si="13"/>
        <v>10296</v>
      </c>
      <c r="Q25" s="120"/>
      <c r="R25" s="112">
        <f>SUM(R7:R24)</f>
        <v>214416.5888626196</v>
      </c>
      <c r="S25" s="112">
        <f>SUM(S7:S24)</f>
        <v>3882471.7131943847</v>
      </c>
      <c r="U25" s="10">
        <v>85362.0417130369</v>
      </c>
      <c r="V25" s="10">
        <v>1877.99313393149</v>
      </c>
      <c r="W25" s="10">
        <v>87240.0348469684</v>
      </c>
      <c r="X25" s="10">
        <v>840657.384911177</v>
      </c>
      <c r="Y25" s="10">
        <v>483529.71583443</v>
      </c>
      <c r="Z25" s="10">
        <v>1411427.13559257</v>
      </c>
    </row>
    <row r="26" spans="1:26" ht="14.25">
      <c r="A26" s="3"/>
      <c r="B26" s="3"/>
      <c r="C26" s="101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21"/>
      <c r="P26" s="112"/>
      <c r="Q26" s="112"/>
      <c r="R26" s="112"/>
      <c r="S26" s="112"/>
      <c r="U26" s="10"/>
      <c r="V26" s="10"/>
      <c r="W26" s="10"/>
      <c r="X26" s="10"/>
      <c r="Y26" s="10"/>
      <c r="Z26" s="10"/>
    </row>
    <row r="27" spans="1:26" ht="14.25">
      <c r="A27" s="3"/>
      <c r="B27" s="3"/>
      <c r="C27" s="101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U27" s="10"/>
      <c r="V27" s="10"/>
      <c r="W27" s="10"/>
      <c r="X27" s="10"/>
      <c r="Y27" s="10"/>
      <c r="Z27" s="10"/>
    </row>
    <row r="28" spans="1:26" ht="14.25">
      <c r="A28" s="3"/>
      <c r="B28" s="3"/>
      <c r="C28" s="101" t="s">
        <v>79</v>
      </c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U28" s="10"/>
      <c r="V28" s="10"/>
      <c r="W28" s="10"/>
      <c r="X28" s="10"/>
      <c r="Y28" s="10"/>
      <c r="Z28" s="10"/>
    </row>
    <row r="29" spans="1:34" ht="14.25">
      <c r="A29" s="3">
        <v>1</v>
      </c>
      <c r="B29" s="3">
        <v>23</v>
      </c>
      <c r="C29" s="117" t="s">
        <v>71</v>
      </c>
      <c r="D29" s="113">
        <f>U29*$E$279/100</f>
        <v>0</v>
      </c>
      <c r="E29" s="113">
        <f>V29*$E$279/100</f>
        <v>0</v>
      </c>
      <c r="F29" s="113">
        <f>D29+E29</f>
        <v>0</v>
      </c>
      <c r="G29" s="113">
        <f>E29*$G$279/100</f>
        <v>0</v>
      </c>
      <c r="H29" s="113">
        <f>E29*$H$279/100</f>
        <v>0</v>
      </c>
      <c r="I29" s="113">
        <f>F29+G29+H29</f>
        <v>0</v>
      </c>
      <c r="J29" s="113">
        <f>X29*$J$279/100</f>
        <v>6923.442273285441</v>
      </c>
      <c r="K29" s="113">
        <f>R29*$K$279/100</f>
        <v>6709.30525021035</v>
      </c>
      <c r="L29" s="113">
        <f>R29*$L$279/100</f>
        <v>10246.938927593988</v>
      </c>
      <c r="M29" s="113">
        <f>R29*$M$279/100-2000</f>
        <v>13126.433655019699</v>
      </c>
      <c r="N29" s="113">
        <v>44.84</v>
      </c>
      <c r="O29" s="122">
        <v>276</v>
      </c>
      <c r="P29" s="116">
        <v>572</v>
      </c>
      <c r="Q29" s="116"/>
      <c r="R29" s="113">
        <f>Y29*$R$279/100</f>
        <v>34119.909170478575</v>
      </c>
      <c r="S29" s="112">
        <f>I29+J29+K29+L29+M29+N29+O29+P29</f>
        <v>37898.96010610947</v>
      </c>
      <c r="U29" s="31">
        <v>0</v>
      </c>
      <c r="V29" s="31">
        <v>0</v>
      </c>
      <c r="W29" s="31">
        <v>0</v>
      </c>
      <c r="X29" s="31">
        <v>1605.7800469069</v>
      </c>
      <c r="Y29" s="31">
        <v>50962.5912409933</v>
      </c>
      <c r="Z29" s="31">
        <v>52569.3712879002</v>
      </c>
      <c r="AG29" s="13">
        <v>6709.30525021035</v>
      </c>
      <c r="AH29" s="13">
        <v>277.14</v>
      </c>
    </row>
    <row r="30" spans="1:26" ht="14.25">
      <c r="A30" s="3"/>
      <c r="B30" s="3"/>
      <c r="C30" s="101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U30" s="10"/>
      <c r="V30" s="10"/>
      <c r="W30" s="10"/>
      <c r="X30" s="10"/>
      <c r="Y30" s="10"/>
      <c r="Z30" s="10"/>
    </row>
    <row r="31" spans="1:26" ht="14.25">
      <c r="A31" s="3"/>
      <c r="B31" s="3"/>
      <c r="C31" s="101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U31" s="10"/>
      <c r="V31" s="10"/>
      <c r="W31" s="10"/>
      <c r="X31" s="10"/>
      <c r="Y31" s="10"/>
      <c r="Z31" s="10"/>
    </row>
    <row r="32" spans="1:26" ht="14.25">
      <c r="A32" s="3"/>
      <c r="B32" s="3"/>
      <c r="C32" s="117" t="s">
        <v>80</v>
      </c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U32" s="10"/>
      <c r="V32" s="10"/>
      <c r="W32" s="10"/>
      <c r="X32" s="10"/>
      <c r="Y32" s="10"/>
      <c r="Z32" s="10"/>
    </row>
    <row r="33" spans="1:34" ht="14.25">
      <c r="A33" s="3">
        <v>1</v>
      </c>
      <c r="B33" s="3">
        <v>24</v>
      </c>
      <c r="C33" s="117" t="s">
        <v>71</v>
      </c>
      <c r="D33" s="113">
        <f>U33*$E$279/100</f>
        <v>0</v>
      </c>
      <c r="E33" s="113">
        <f>V33*$E$279/100</f>
        <v>0</v>
      </c>
      <c r="F33" s="113">
        <f>D33+E33</f>
        <v>0</v>
      </c>
      <c r="G33" s="113">
        <f>E33*$G$279/100</f>
        <v>0</v>
      </c>
      <c r="H33" s="113">
        <f>E33*$H$279/100</f>
        <v>0</v>
      </c>
      <c r="I33" s="113">
        <f>F33+G33+H33</f>
        <v>0</v>
      </c>
      <c r="J33" s="113">
        <f>X33*$J$279/100</f>
        <v>212748.345254124</v>
      </c>
      <c r="K33" s="113">
        <f>R33*$K$279/100</f>
        <v>13921.325014845734</v>
      </c>
      <c r="L33" s="113">
        <f>R33*$L$279/100</f>
        <v>21261.66002267348</v>
      </c>
      <c r="M33" s="113">
        <f>R33*$M$279/100</f>
        <v>31386.260033470382</v>
      </c>
      <c r="N33" s="113">
        <v>44.84</v>
      </c>
      <c r="O33" s="122">
        <v>277.14</v>
      </c>
      <c r="P33" s="116">
        <v>572</v>
      </c>
      <c r="Q33" s="116"/>
      <c r="R33" s="113">
        <f>Y33*$R$279/100</f>
        <v>70796.35332203073</v>
      </c>
      <c r="S33" s="112">
        <f>I33+J33+K33+L33+M33+N33+O33+P33</f>
        <v>280211.57032511366</v>
      </c>
      <c r="U33" s="31">
        <v>0</v>
      </c>
      <c r="V33" s="31">
        <v>0</v>
      </c>
      <c r="W33" s="31">
        <v>0</v>
      </c>
      <c r="X33" s="31">
        <v>49343.5251334041</v>
      </c>
      <c r="Y33" s="31">
        <v>105743.705168632</v>
      </c>
      <c r="Z33" s="31">
        <v>155088.230302036</v>
      </c>
      <c r="AG33" s="13">
        <v>13921.325014845734</v>
      </c>
      <c r="AH33" s="13">
        <v>277.14</v>
      </c>
    </row>
    <row r="34" spans="1:26" ht="14.25">
      <c r="A34" s="3"/>
      <c r="B34" s="3"/>
      <c r="C34" s="101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U34" s="10"/>
      <c r="V34" s="10"/>
      <c r="W34" s="10"/>
      <c r="X34" s="10"/>
      <c r="Y34" s="10"/>
      <c r="Z34" s="10"/>
    </row>
    <row r="35" spans="1:26" ht="14.25">
      <c r="A35" s="3"/>
      <c r="B35" s="3"/>
      <c r="C35" s="101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U35" s="10"/>
      <c r="V35" s="10"/>
      <c r="W35" s="10"/>
      <c r="X35" s="10"/>
      <c r="Y35" s="10"/>
      <c r="Z35" s="10"/>
    </row>
    <row r="36" spans="1:26" ht="14.25">
      <c r="A36" s="3"/>
      <c r="B36" s="3"/>
      <c r="C36" s="117" t="s">
        <v>81</v>
      </c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U36" s="10"/>
      <c r="V36" s="10"/>
      <c r="W36" s="10"/>
      <c r="X36" s="10"/>
      <c r="Y36" s="10"/>
      <c r="Z36" s="10"/>
    </row>
    <row r="37" spans="1:34" ht="12.75" customHeight="1">
      <c r="A37" s="3">
        <v>1</v>
      </c>
      <c r="B37" s="3">
        <v>25</v>
      </c>
      <c r="C37" s="117" t="s">
        <v>71</v>
      </c>
      <c r="D37" s="113">
        <f>U37*$E$279/100</f>
        <v>0</v>
      </c>
      <c r="E37" s="113">
        <f>V37*$E$279/100</f>
        <v>620.4788811131558</v>
      </c>
      <c r="F37" s="113">
        <f>D37+E37</f>
        <v>620.4788811131558</v>
      </c>
      <c r="G37" s="113">
        <f>E37*$G$279/100</f>
        <v>75.10689111570258</v>
      </c>
      <c r="H37" s="113">
        <f>E37*$H$279/100</f>
        <v>70.34819987453884</v>
      </c>
      <c r="I37" s="113">
        <f>F37+G37+H37</f>
        <v>765.9339721033972</v>
      </c>
      <c r="J37" s="113">
        <f>X37*$J$279/100</f>
        <v>184202.0902739051</v>
      </c>
      <c r="K37" s="113">
        <f>R37*$K$279/100-100</f>
        <v>36987.956653439316</v>
      </c>
      <c r="L37" s="113">
        <f>R37*$L$279/100</f>
        <v>56643.42470707095</v>
      </c>
      <c r="M37" s="113">
        <f>R37*$M$279/100</f>
        <v>83616.48409139046</v>
      </c>
      <c r="N37" s="113">
        <v>44.84</v>
      </c>
      <c r="O37" s="112">
        <v>274</v>
      </c>
      <c r="P37" s="116">
        <v>572</v>
      </c>
      <c r="Q37" s="116"/>
      <c r="R37" s="113">
        <f>Y37*$R$279/100</f>
        <v>188609.3515113688</v>
      </c>
      <c r="S37" s="112">
        <f>I37+J37+K37+L37+M37+N37+O37+P37</f>
        <v>363106.72969790926</v>
      </c>
      <c r="U37" s="31">
        <v>0</v>
      </c>
      <c r="V37" s="31">
        <v>697.086553719053</v>
      </c>
      <c r="W37" s="31">
        <v>697.086553719053</v>
      </c>
      <c r="X37" s="31">
        <v>42722.68468269</v>
      </c>
      <c r="Y37" s="31">
        <v>281712.979869808</v>
      </c>
      <c r="Z37" s="31">
        <v>325132.751106217</v>
      </c>
      <c r="AG37" s="13">
        <v>36987.956653439316</v>
      </c>
      <c r="AH37" s="13">
        <v>277.14</v>
      </c>
    </row>
    <row r="38" spans="1:34" ht="14.25">
      <c r="A38" s="3"/>
      <c r="B38" s="16">
        <v>4</v>
      </c>
      <c r="C38" s="117" t="s">
        <v>82</v>
      </c>
      <c r="D38" s="113">
        <f>U38*$E$279/100</f>
        <v>337.9176730969995</v>
      </c>
      <c r="E38" s="113">
        <f>V38*$E$279/100</f>
        <v>117.64343886906447</v>
      </c>
      <c r="F38" s="113">
        <f>D38+E38</f>
        <v>455.561111966064</v>
      </c>
      <c r="G38" s="113">
        <f>E38*$G$279/100</f>
        <v>14.240344389746053</v>
      </c>
      <c r="H38" s="113">
        <f>E38*$H$279/100+10</f>
        <v>23.33809159893027</v>
      </c>
      <c r="I38" s="113">
        <f>F38+G38+H38</f>
        <v>493.1395479547403</v>
      </c>
      <c r="J38" s="113">
        <f>X38*$J$279/100</f>
        <v>8636.009915279936</v>
      </c>
      <c r="K38" s="113">
        <f>R38*$K$279/100</f>
        <v>1256.7862860624582</v>
      </c>
      <c r="L38" s="113">
        <f>R38*$L$279/100</f>
        <v>1919.4554187135725</v>
      </c>
      <c r="M38" s="113">
        <f>R38*$M$279/100</f>
        <v>2833.481808577178</v>
      </c>
      <c r="N38" s="113">
        <v>44.84</v>
      </c>
      <c r="O38" s="112">
        <v>274</v>
      </c>
      <c r="P38" s="116">
        <v>572</v>
      </c>
      <c r="Q38" s="116"/>
      <c r="R38" s="113">
        <f>Y38*$R$279/100</f>
        <v>6391.3374526833095</v>
      </c>
      <c r="S38" s="112">
        <f>I38+J38+K38+L38+M38+N38+O38+P38</f>
        <v>16029.712976587887</v>
      </c>
      <c r="U38" s="31">
        <v>379.638813423193</v>
      </c>
      <c r="V38" s="31">
        <v>132.16833298463</v>
      </c>
      <c r="W38" s="31">
        <v>511.807146407823</v>
      </c>
      <c r="X38" s="31">
        <v>2002.98231132156</v>
      </c>
      <c r="Y38" s="31">
        <v>9546.30671661258</v>
      </c>
      <c r="Z38" s="31">
        <v>12061.096174342</v>
      </c>
      <c r="AG38" s="13">
        <v>1256.7862860624582</v>
      </c>
      <c r="AH38" s="13">
        <v>277.14</v>
      </c>
    </row>
    <row r="39" spans="1:26" ht="14.25">
      <c r="A39" s="3"/>
      <c r="B39" s="3"/>
      <c r="C39" s="101"/>
      <c r="D39" s="112">
        <f>SUM(D37:D38)</f>
        <v>337.9176730969995</v>
      </c>
      <c r="E39" s="112">
        <f>SUM(E37:E38)</f>
        <v>738.1223199822202</v>
      </c>
      <c r="F39" s="113">
        <f>D39+E39</f>
        <v>1076.0399930792198</v>
      </c>
      <c r="G39" s="112">
        <f aca="true" t="shared" si="14" ref="G39:P39">SUM(G37:G38)</f>
        <v>89.34723550544864</v>
      </c>
      <c r="H39" s="112">
        <f t="shared" si="14"/>
        <v>93.68629147346911</v>
      </c>
      <c r="I39" s="113">
        <f t="shared" si="14"/>
        <v>1259.0735200581375</v>
      </c>
      <c r="J39" s="112">
        <f t="shared" si="14"/>
        <v>192838.10018918503</v>
      </c>
      <c r="K39" s="112">
        <f t="shared" si="14"/>
        <v>38244.742939501775</v>
      </c>
      <c r="L39" s="112">
        <f t="shared" si="14"/>
        <v>58562.880125784526</v>
      </c>
      <c r="M39" s="112">
        <f t="shared" si="14"/>
        <v>86449.96589996765</v>
      </c>
      <c r="N39" s="112">
        <f t="shared" si="14"/>
        <v>89.68</v>
      </c>
      <c r="O39" s="112">
        <f t="shared" si="14"/>
        <v>548</v>
      </c>
      <c r="P39" s="112">
        <f t="shared" si="14"/>
        <v>1144</v>
      </c>
      <c r="Q39" s="112"/>
      <c r="R39" s="112">
        <f>SUM(R37:R38)</f>
        <v>195000.6889640521</v>
      </c>
      <c r="S39" s="112">
        <f>SUM(S37:S38)</f>
        <v>379136.44267449714</v>
      </c>
      <c r="U39" s="10"/>
      <c r="V39" s="10"/>
      <c r="W39" s="10"/>
      <c r="X39" s="10"/>
      <c r="Y39" s="10"/>
      <c r="Z39" s="10"/>
    </row>
    <row r="40" spans="1:26" ht="14.25">
      <c r="A40" s="3"/>
      <c r="B40" s="3"/>
      <c r="C40" s="101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U40" s="10"/>
      <c r="V40" s="10"/>
      <c r="W40" s="10"/>
      <c r="X40" s="10"/>
      <c r="Y40" s="10"/>
      <c r="Z40" s="10"/>
    </row>
    <row r="41" spans="1:34" s="1" customFormat="1" ht="14.25">
      <c r="A41" s="33"/>
      <c r="B41" s="33"/>
      <c r="C41" s="101" t="s">
        <v>83</v>
      </c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U41" s="34"/>
      <c r="V41" s="34"/>
      <c r="W41" s="34"/>
      <c r="X41" s="34"/>
      <c r="Y41" s="34"/>
      <c r="Z41" s="34"/>
      <c r="AG41" s="35"/>
      <c r="AH41" s="35"/>
    </row>
    <row r="42" spans="1:34" s="1" customFormat="1" ht="14.25">
      <c r="A42" s="33"/>
      <c r="B42" s="33">
        <v>26</v>
      </c>
      <c r="C42" s="117" t="s">
        <v>84</v>
      </c>
      <c r="D42" s="113">
        <f>U42*$E$279/100</f>
        <v>0</v>
      </c>
      <c r="E42" s="113">
        <f>V42*$E$279/100</f>
        <v>2143.071311398124</v>
      </c>
      <c r="F42" s="113">
        <f aca="true" t="shared" si="15" ref="F42:F53">D42+E42</f>
        <v>2143.071311398124</v>
      </c>
      <c r="G42" s="113">
        <f aca="true" t="shared" si="16" ref="G42:G52">E42*$G$279/100</f>
        <v>259.41160696654055</v>
      </c>
      <c r="H42" s="113">
        <f>E42*$H$279/100</f>
        <v>242.97556862717974</v>
      </c>
      <c r="I42" s="113">
        <f aca="true" t="shared" si="17" ref="I42:I52">F42+G42+H42</f>
        <v>2645.4584869918444</v>
      </c>
      <c r="J42" s="113">
        <f aca="true" t="shared" si="18" ref="J42:J52">X42*$J$279/100</f>
        <v>481549.67021595244</v>
      </c>
      <c r="K42" s="113">
        <f>R42*$K$279/100</f>
        <v>15914.049930190442</v>
      </c>
      <c r="L42" s="113">
        <f aca="true" t="shared" si="19" ref="L42:L52">R42*$L$279/100</f>
        <v>24305.09443883631</v>
      </c>
      <c r="M42" s="113">
        <f aca="true" t="shared" si="20" ref="M42:M52">R42*$M$279/100</f>
        <v>35878.94893352027</v>
      </c>
      <c r="N42" s="113">
        <v>44</v>
      </c>
      <c r="O42" s="112">
        <v>274</v>
      </c>
      <c r="P42" s="113">
        <v>572.6785714285714</v>
      </c>
      <c r="Q42" s="113"/>
      <c r="R42" s="113">
        <f aca="true" t="shared" si="21" ref="R42:R52">Y42*$R$279/100</f>
        <v>80930.27786081652</v>
      </c>
      <c r="S42" s="112">
        <f aca="true" t="shared" si="22" ref="S42:S52">I42+J42+K42+L42+M42+N42+O42+P42</f>
        <v>561183.9005769198</v>
      </c>
      <c r="U42" s="32">
        <v>0</v>
      </c>
      <c r="V42" s="32">
        <v>2407.66646587001</v>
      </c>
      <c r="W42" s="32">
        <v>2407.66646587001</v>
      </c>
      <c r="X42" s="32">
        <v>111687.629000831</v>
      </c>
      <c r="Y42" s="32">
        <v>120880.060056237</v>
      </c>
      <c r="Z42" s="32">
        <v>234976.355522938</v>
      </c>
      <c r="AG42" s="35">
        <v>15914.049930190442</v>
      </c>
      <c r="AH42" s="35">
        <v>277.14</v>
      </c>
    </row>
    <row r="43" spans="1:34" s="1" customFormat="1" ht="14.25">
      <c r="A43" s="33"/>
      <c r="B43" s="33">
        <v>27</v>
      </c>
      <c r="C43" s="117" t="s">
        <v>85</v>
      </c>
      <c r="D43" s="113">
        <f>U43*$E$279/100+100</f>
        <v>3065.2275814261625</v>
      </c>
      <c r="E43" s="113">
        <f aca="true" t="shared" si="23" ref="E43:E52">V43*$E$279/100</f>
        <v>18426.883974857847</v>
      </c>
      <c r="F43" s="113">
        <f t="shared" si="15"/>
        <v>21492.11155628401</v>
      </c>
      <c r="G43" s="113">
        <f t="shared" si="16"/>
        <v>2230.5126095805626</v>
      </c>
      <c r="H43" s="113">
        <f>E43*$H$279/100</f>
        <v>2089.1897474457837</v>
      </c>
      <c r="I43" s="113">
        <f t="shared" si="17"/>
        <v>25811.813913310358</v>
      </c>
      <c r="J43" s="113">
        <f t="shared" si="18"/>
        <v>5325.539447755952</v>
      </c>
      <c r="K43" s="113">
        <f>R43*$K$279/100</f>
        <v>7177.989859043489</v>
      </c>
      <c r="L43" s="113">
        <f t="shared" si="19"/>
        <v>10962.748148357328</v>
      </c>
      <c r="M43" s="113">
        <f t="shared" si="20"/>
        <v>16183.104409479864</v>
      </c>
      <c r="N43" s="113">
        <v>44</v>
      </c>
      <c r="O43" s="112">
        <v>274</v>
      </c>
      <c r="P43" s="113">
        <v>572.6785714285714</v>
      </c>
      <c r="Q43" s="113"/>
      <c r="R43" s="113">
        <f t="shared" si="21"/>
        <v>36503.386398986935</v>
      </c>
      <c r="S43" s="112">
        <f t="shared" si="22"/>
        <v>66351.87434937556</v>
      </c>
      <c r="U43" s="32">
        <v>3331.33058778851</v>
      </c>
      <c r="V43" s="32">
        <v>20701.9665564926</v>
      </c>
      <c r="W43" s="32">
        <v>24033.2971442811</v>
      </c>
      <c r="X43" s="32">
        <v>1235.17242531496</v>
      </c>
      <c r="Y43" s="32">
        <v>54522.6293150039</v>
      </c>
      <c r="Z43" s="32">
        <v>79791.0988846</v>
      </c>
      <c r="AG43" s="35">
        <v>7177.989859043489</v>
      </c>
      <c r="AH43" s="35">
        <v>277.14</v>
      </c>
    </row>
    <row r="44" spans="1:34" s="1" customFormat="1" ht="14.25">
      <c r="A44" s="33"/>
      <c r="B44" s="33">
        <v>28</v>
      </c>
      <c r="C44" s="117" t="s">
        <v>86</v>
      </c>
      <c r="D44" s="113">
        <f>U44*$E$279/100</f>
        <v>0</v>
      </c>
      <c r="E44" s="113">
        <f t="shared" si="23"/>
        <v>2150.9142073227326</v>
      </c>
      <c r="F44" s="113">
        <f t="shared" si="15"/>
        <v>2150.9142073227326</v>
      </c>
      <c r="G44" s="113">
        <f t="shared" si="16"/>
        <v>260.36096325919084</v>
      </c>
      <c r="H44" s="113">
        <f>E44*$H$279/100+20</f>
        <v>263.86477473377556</v>
      </c>
      <c r="I44" s="113">
        <f t="shared" si="17"/>
        <v>2675.139945315699</v>
      </c>
      <c r="J44" s="113">
        <f t="shared" si="18"/>
        <v>393105.41400359944</v>
      </c>
      <c r="K44" s="113">
        <f>R44*$K$279/100-500</f>
        <v>21646.894581256303</v>
      </c>
      <c r="L44" s="113">
        <f t="shared" si="19"/>
        <v>33824.3480877369</v>
      </c>
      <c r="M44" s="113">
        <f t="shared" si="20"/>
        <v>49931.18051046876</v>
      </c>
      <c r="N44" s="113">
        <v>44</v>
      </c>
      <c r="O44" s="112">
        <v>274</v>
      </c>
      <c r="P44" s="113">
        <v>572.6785714285714</v>
      </c>
      <c r="Q44" s="113"/>
      <c r="R44" s="113">
        <f t="shared" si="21"/>
        <v>112627.16530850017</v>
      </c>
      <c r="S44" s="112">
        <f t="shared" si="22"/>
        <v>502073.65569980576</v>
      </c>
      <c r="U44" s="32">
        <v>0</v>
      </c>
      <c r="V44" s="32">
        <v>2416.47768806899</v>
      </c>
      <c r="W44" s="32">
        <v>2416.47768806899</v>
      </c>
      <c r="X44" s="32">
        <v>91174.4194898166</v>
      </c>
      <c r="Y44" s="32">
        <v>168223.548297575</v>
      </c>
      <c r="Z44" s="32">
        <v>261814.44547546</v>
      </c>
      <c r="AG44" s="35">
        <v>21646.894581256303</v>
      </c>
      <c r="AH44" s="35">
        <v>277.14</v>
      </c>
    </row>
    <row r="45" spans="1:34" s="1" customFormat="1" ht="14.25">
      <c r="A45" s="33"/>
      <c r="B45" s="33">
        <v>29</v>
      </c>
      <c r="C45" s="117" t="s">
        <v>87</v>
      </c>
      <c r="D45" s="113">
        <f>U45*$E$279/100+200</f>
        <v>18001.87290235941</v>
      </c>
      <c r="E45" s="113">
        <f t="shared" si="23"/>
        <v>7197.817734805601</v>
      </c>
      <c r="F45" s="113">
        <f t="shared" si="15"/>
        <v>25199.69063716501</v>
      </c>
      <c r="G45" s="113">
        <f t="shared" si="16"/>
        <v>871.2717375792968</v>
      </c>
      <c r="H45" s="113">
        <f aca="true" t="shared" si="24" ref="H45:H52">E45*$H$279/100</f>
        <v>816.0689043278844</v>
      </c>
      <c r="I45" s="113">
        <f t="shared" si="17"/>
        <v>26887.03127907219</v>
      </c>
      <c r="J45" s="113">
        <f t="shared" si="18"/>
        <v>10633.806875681357</v>
      </c>
      <c r="K45" s="113">
        <f aca="true" t="shared" si="25" ref="K45:K52">R45*$K$279/100</f>
        <v>6671.795013364794</v>
      </c>
      <c r="L45" s="113">
        <f t="shared" si="19"/>
        <v>10189.650565866228</v>
      </c>
      <c r="M45" s="113">
        <f t="shared" si="20"/>
        <v>15041.865121040624</v>
      </c>
      <c r="N45" s="113">
        <v>44</v>
      </c>
      <c r="O45" s="112">
        <v>274</v>
      </c>
      <c r="P45" s="113">
        <v>572.6785714285714</v>
      </c>
      <c r="Q45" s="113"/>
      <c r="R45" s="113">
        <f t="shared" si="21"/>
        <v>33929.1523295831</v>
      </c>
      <c r="S45" s="112">
        <f t="shared" si="22"/>
        <v>70314.82742645375</v>
      </c>
      <c r="U45" s="32">
        <v>19999.7882425707</v>
      </c>
      <c r="V45" s="32">
        <v>8086.49917310962</v>
      </c>
      <c r="W45" s="32">
        <v>28086.2874156803</v>
      </c>
      <c r="X45" s="32">
        <v>2466.33888600728</v>
      </c>
      <c r="Y45" s="32">
        <v>50677.6707020667</v>
      </c>
      <c r="Z45" s="32">
        <v>81230.2970037544</v>
      </c>
      <c r="AG45" s="35">
        <v>6671.795013364794</v>
      </c>
      <c r="AH45" s="35">
        <v>277.14</v>
      </c>
    </row>
    <row r="46" spans="1:34" s="1" customFormat="1" ht="14.25">
      <c r="A46" s="33"/>
      <c r="B46" s="33">
        <v>30</v>
      </c>
      <c r="C46" s="117" t="s">
        <v>88</v>
      </c>
      <c r="D46" s="113">
        <f aca="true" t="shared" si="26" ref="D46:D52">U46*$E$279/100</f>
        <v>0</v>
      </c>
      <c r="E46" s="113">
        <f t="shared" si="23"/>
        <v>845.0720358761147</v>
      </c>
      <c r="F46" s="113">
        <f t="shared" si="15"/>
        <v>845.0720358761147</v>
      </c>
      <c r="G46" s="113">
        <f t="shared" si="16"/>
        <v>102.29314053300934</v>
      </c>
      <c r="H46" s="113">
        <f t="shared" si="24"/>
        <v>95.8119579856493</v>
      </c>
      <c r="I46" s="113">
        <f t="shared" si="17"/>
        <v>1043.1771343947732</v>
      </c>
      <c r="J46" s="113">
        <f t="shared" si="18"/>
        <v>35309.76587360795</v>
      </c>
      <c r="K46" s="113">
        <f t="shared" si="25"/>
        <v>8714.749459293398</v>
      </c>
      <c r="L46" s="113">
        <f t="shared" si="19"/>
        <v>13309.799174193553</v>
      </c>
      <c r="M46" s="113">
        <f t="shared" si="20"/>
        <v>19647.79878095239</v>
      </c>
      <c r="N46" s="113">
        <v>44</v>
      </c>
      <c r="O46" s="112">
        <v>274</v>
      </c>
      <c r="P46" s="113">
        <v>572.6785714285714</v>
      </c>
      <c r="Q46" s="113"/>
      <c r="R46" s="113">
        <f t="shared" si="21"/>
        <v>44318.51717959108</v>
      </c>
      <c r="S46" s="112">
        <f t="shared" si="22"/>
        <v>78915.96899387063</v>
      </c>
      <c r="U46" s="32">
        <v>0</v>
      </c>
      <c r="V46" s="32">
        <v>949.409191939594</v>
      </c>
      <c r="W46" s="32">
        <v>949.409191939594</v>
      </c>
      <c r="X46" s="32">
        <v>8189.52701022343</v>
      </c>
      <c r="Y46" s="32">
        <v>66195.5594355634</v>
      </c>
      <c r="Z46" s="32">
        <v>75335.4956377264</v>
      </c>
      <c r="AG46" s="35">
        <v>8714.749459293398</v>
      </c>
      <c r="AH46" s="35">
        <v>277.14</v>
      </c>
    </row>
    <row r="47" spans="1:34" s="1" customFormat="1" ht="14.25">
      <c r="A47" s="33"/>
      <c r="B47" s="33">
        <v>31</v>
      </c>
      <c r="C47" s="117" t="s">
        <v>89</v>
      </c>
      <c r="D47" s="113">
        <f t="shared" si="26"/>
        <v>0</v>
      </c>
      <c r="E47" s="113">
        <f t="shared" si="23"/>
        <v>1427.4070582779816</v>
      </c>
      <c r="F47" s="113">
        <f t="shared" si="15"/>
        <v>1427.4070582779816</v>
      </c>
      <c r="G47" s="113">
        <f t="shared" si="16"/>
        <v>172.78284526225204</v>
      </c>
      <c r="H47" s="113">
        <f t="shared" si="24"/>
        <v>161.83551140035388</v>
      </c>
      <c r="I47" s="113">
        <f t="shared" si="17"/>
        <v>1762.0254149405876</v>
      </c>
      <c r="J47" s="113">
        <f t="shared" si="18"/>
        <v>56594.65164480151</v>
      </c>
      <c r="K47" s="113">
        <f t="shared" si="25"/>
        <v>7407.691721788453</v>
      </c>
      <c r="L47" s="113">
        <f t="shared" si="19"/>
        <v>11313.565538731453</v>
      </c>
      <c r="M47" s="113">
        <f t="shared" si="20"/>
        <v>16700.97770003215</v>
      </c>
      <c r="N47" s="113">
        <v>44</v>
      </c>
      <c r="O47" s="112">
        <v>274</v>
      </c>
      <c r="P47" s="113">
        <v>572.6785714285714</v>
      </c>
      <c r="Q47" s="113"/>
      <c r="R47" s="113">
        <f t="shared" si="21"/>
        <v>37671.52622880049</v>
      </c>
      <c r="S47" s="112">
        <f t="shared" si="22"/>
        <v>94669.5905917227</v>
      </c>
      <c r="U47" s="32">
        <v>0</v>
      </c>
      <c r="V47" s="32">
        <v>1603.64244021351</v>
      </c>
      <c r="W47" s="32">
        <v>1603.64244021351</v>
      </c>
      <c r="X47" s="32">
        <v>13126.2107468607</v>
      </c>
      <c r="Y47" s="32">
        <v>56267.4004502864</v>
      </c>
      <c r="Z47" s="32">
        <v>70997.2536373606</v>
      </c>
      <c r="AG47" s="35">
        <v>7407.691721788453</v>
      </c>
      <c r="AH47" s="35">
        <v>277.14</v>
      </c>
    </row>
    <row r="48" spans="1:34" s="1" customFormat="1" ht="14.25">
      <c r="A48" s="33"/>
      <c r="B48" s="33">
        <v>32</v>
      </c>
      <c r="C48" s="117" t="s">
        <v>67</v>
      </c>
      <c r="D48" s="113">
        <f t="shared" si="26"/>
        <v>0</v>
      </c>
      <c r="E48" s="113">
        <f t="shared" si="23"/>
        <v>0</v>
      </c>
      <c r="F48" s="113">
        <f t="shared" si="15"/>
        <v>0</v>
      </c>
      <c r="G48" s="113">
        <f t="shared" si="16"/>
        <v>0</v>
      </c>
      <c r="H48" s="113">
        <f t="shared" si="24"/>
        <v>0</v>
      </c>
      <c r="I48" s="113">
        <f t="shared" si="17"/>
        <v>0</v>
      </c>
      <c r="J48" s="113">
        <f t="shared" si="18"/>
        <v>522.8832764606358</v>
      </c>
      <c r="K48" s="113">
        <f t="shared" si="25"/>
        <v>399.62975811919983</v>
      </c>
      <c r="L48" s="113">
        <f t="shared" si="19"/>
        <v>610.3436305820507</v>
      </c>
      <c r="M48" s="113">
        <f t="shared" si="20"/>
        <v>900.9834546687415</v>
      </c>
      <c r="N48" s="113">
        <v>44</v>
      </c>
      <c r="O48" s="112">
        <v>274</v>
      </c>
      <c r="P48" s="113">
        <v>572.6785714285714</v>
      </c>
      <c r="Q48" s="113"/>
      <c r="R48" s="113">
        <f t="shared" si="21"/>
        <v>2032.3014888046607</v>
      </c>
      <c r="S48" s="112">
        <f t="shared" si="22"/>
        <v>3324.5186912591994</v>
      </c>
      <c r="U48" s="32">
        <v>0</v>
      </c>
      <c r="V48" s="32">
        <v>0</v>
      </c>
      <c r="W48" s="32">
        <v>0</v>
      </c>
      <c r="X48" s="32">
        <v>121.274288</v>
      </c>
      <c r="Y48" s="32">
        <v>3035.51072</v>
      </c>
      <c r="Z48" s="32">
        <v>3156.785008</v>
      </c>
      <c r="AG48" s="35">
        <v>399.62975811919983</v>
      </c>
      <c r="AH48" s="35">
        <v>277.14</v>
      </c>
    </row>
    <row r="49" spans="1:34" s="1" customFormat="1" ht="14.25">
      <c r="A49" s="33"/>
      <c r="B49" s="33">
        <v>33</v>
      </c>
      <c r="C49" s="117" t="s">
        <v>90</v>
      </c>
      <c r="D49" s="113">
        <f t="shared" si="26"/>
        <v>0</v>
      </c>
      <c r="E49" s="113">
        <f t="shared" si="23"/>
        <v>0</v>
      </c>
      <c r="F49" s="113">
        <f t="shared" si="15"/>
        <v>0</v>
      </c>
      <c r="G49" s="113">
        <f t="shared" si="16"/>
        <v>0</v>
      </c>
      <c r="H49" s="113">
        <f t="shared" si="24"/>
        <v>0</v>
      </c>
      <c r="I49" s="113">
        <f t="shared" si="17"/>
        <v>0</v>
      </c>
      <c r="J49" s="113">
        <f t="shared" si="18"/>
        <v>522.8832764606358</v>
      </c>
      <c r="K49" s="113">
        <f t="shared" si="25"/>
        <v>199.81487905959992</v>
      </c>
      <c r="L49" s="113">
        <f t="shared" si="19"/>
        <v>305.1718152910253</v>
      </c>
      <c r="M49" s="113">
        <f t="shared" si="20"/>
        <v>450.49172733437075</v>
      </c>
      <c r="N49" s="113">
        <v>44</v>
      </c>
      <c r="O49" s="112">
        <v>274</v>
      </c>
      <c r="P49" s="113">
        <v>572.6785714285714</v>
      </c>
      <c r="Q49" s="113"/>
      <c r="R49" s="113">
        <f t="shared" si="21"/>
        <v>1016.1507444023304</v>
      </c>
      <c r="S49" s="112">
        <f t="shared" si="22"/>
        <v>2369.040269574203</v>
      </c>
      <c r="U49" s="32">
        <v>0</v>
      </c>
      <c r="V49" s="32">
        <v>0</v>
      </c>
      <c r="W49" s="32">
        <v>0</v>
      </c>
      <c r="X49" s="32">
        <v>121.274288</v>
      </c>
      <c r="Y49" s="32">
        <v>1517.75536</v>
      </c>
      <c r="Z49" s="32">
        <v>1639.029648</v>
      </c>
      <c r="AG49" s="35">
        <v>199.81487905959992</v>
      </c>
      <c r="AH49" s="35">
        <v>277.14</v>
      </c>
    </row>
    <row r="50" spans="1:34" s="1" customFormat="1" ht="14.25">
      <c r="A50" s="33"/>
      <c r="B50" s="33">
        <v>34</v>
      </c>
      <c r="C50" s="117" t="s">
        <v>60</v>
      </c>
      <c r="D50" s="113">
        <f t="shared" si="26"/>
        <v>640.8742099786992</v>
      </c>
      <c r="E50" s="113">
        <f t="shared" si="23"/>
        <v>0</v>
      </c>
      <c r="F50" s="113">
        <f t="shared" si="15"/>
        <v>640.8742099786992</v>
      </c>
      <c r="G50" s="113">
        <f t="shared" si="16"/>
        <v>0</v>
      </c>
      <c r="H50" s="113">
        <f t="shared" si="24"/>
        <v>0</v>
      </c>
      <c r="I50" s="113">
        <f t="shared" si="17"/>
        <v>640.8742099786992</v>
      </c>
      <c r="J50" s="113">
        <f t="shared" si="18"/>
        <v>86.23151454175279</v>
      </c>
      <c r="K50" s="113">
        <f t="shared" si="25"/>
        <v>263.3031440055002</v>
      </c>
      <c r="L50" s="113">
        <f t="shared" si="19"/>
        <v>402.1357108447639</v>
      </c>
      <c r="M50" s="113">
        <f t="shared" si="20"/>
        <v>593.6289064851277</v>
      </c>
      <c r="N50" s="113">
        <v>44</v>
      </c>
      <c r="O50" s="112">
        <v>274</v>
      </c>
      <c r="P50" s="113">
        <v>572.6785714285714</v>
      </c>
      <c r="Q50" s="113"/>
      <c r="R50" s="113">
        <f t="shared" si="21"/>
        <v>1339.0178301229391</v>
      </c>
      <c r="S50" s="112">
        <f t="shared" si="22"/>
        <v>2876.8520572844154</v>
      </c>
      <c r="U50" s="32">
        <v>720</v>
      </c>
      <c r="V50" s="32">
        <v>0</v>
      </c>
      <c r="W50" s="32">
        <v>720</v>
      </c>
      <c r="X50" s="32">
        <v>20</v>
      </c>
      <c r="Y50" s="32">
        <v>2000</v>
      </c>
      <c r="Z50" s="32">
        <v>2740</v>
      </c>
      <c r="AG50" s="35">
        <v>263.3031440055002</v>
      </c>
      <c r="AH50" s="35">
        <v>277.14</v>
      </c>
    </row>
    <row r="51" spans="1:34" s="1" customFormat="1" ht="14.25">
      <c r="A51" s="33"/>
      <c r="B51" s="33">
        <v>35</v>
      </c>
      <c r="C51" s="101" t="s">
        <v>91</v>
      </c>
      <c r="D51" s="113">
        <f t="shared" si="26"/>
        <v>0</v>
      </c>
      <c r="E51" s="113">
        <f t="shared" si="23"/>
        <v>0</v>
      </c>
      <c r="F51" s="113">
        <f t="shared" si="15"/>
        <v>0</v>
      </c>
      <c r="G51" s="113">
        <f t="shared" si="16"/>
        <v>0</v>
      </c>
      <c r="H51" s="113">
        <f t="shared" si="24"/>
        <v>0</v>
      </c>
      <c r="I51" s="113">
        <f t="shared" si="17"/>
        <v>0</v>
      </c>
      <c r="J51" s="113">
        <f t="shared" si="18"/>
        <v>0</v>
      </c>
      <c r="K51" s="113">
        <f t="shared" si="25"/>
        <v>0</v>
      </c>
      <c r="L51" s="113">
        <f t="shared" si="19"/>
        <v>0</v>
      </c>
      <c r="M51" s="113">
        <f t="shared" si="20"/>
        <v>0</v>
      </c>
      <c r="N51" s="113">
        <v>44</v>
      </c>
      <c r="O51" s="112">
        <v>274</v>
      </c>
      <c r="P51" s="113">
        <v>572.6785714285714</v>
      </c>
      <c r="Q51" s="113"/>
      <c r="R51" s="113">
        <f t="shared" si="21"/>
        <v>0</v>
      </c>
      <c r="S51" s="112">
        <f t="shared" si="22"/>
        <v>890.6785714285714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G51" s="35">
        <v>0</v>
      </c>
      <c r="AH51" s="35">
        <v>277.14</v>
      </c>
    </row>
    <row r="52" spans="1:34" s="1" customFormat="1" ht="14.25">
      <c r="A52" s="33"/>
      <c r="B52" s="33">
        <v>36</v>
      </c>
      <c r="C52" s="117" t="s">
        <v>92</v>
      </c>
      <c r="D52" s="113">
        <f t="shared" si="26"/>
        <v>0</v>
      </c>
      <c r="E52" s="113">
        <f t="shared" si="23"/>
        <v>0</v>
      </c>
      <c r="F52" s="113">
        <f t="shared" si="15"/>
        <v>0</v>
      </c>
      <c r="G52" s="113">
        <f t="shared" si="16"/>
        <v>0</v>
      </c>
      <c r="H52" s="113">
        <f t="shared" si="24"/>
        <v>0</v>
      </c>
      <c r="I52" s="113">
        <f t="shared" si="17"/>
        <v>0</v>
      </c>
      <c r="J52" s="113">
        <f t="shared" si="18"/>
        <v>522.8832764606358</v>
      </c>
      <c r="K52" s="113">
        <f t="shared" si="25"/>
        <v>199.81487905959992</v>
      </c>
      <c r="L52" s="113">
        <f t="shared" si="19"/>
        <v>305.1718152910253</v>
      </c>
      <c r="M52" s="113">
        <f t="shared" si="20"/>
        <v>450.49172733437075</v>
      </c>
      <c r="N52" s="113">
        <v>44</v>
      </c>
      <c r="O52" s="112">
        <v>274</v>
      </c>
      <c r="P52" s="113">
        <v>572.6785714285714</v>
      </c>
      <c r="Q52" s="113"/>
      <c r="R52" s="113">
        <f t="shared" si="21"/>
        <v>1016.1507444023304</v>
      </c>
      <c r="S52" s="112">
        <f t="shared" si="22"/>
        <v>2369.040269574203</v>
      </c>
      <c r="U52" s="32">
        <v>0</v>
      </c>
      <c r="V52" s="32">
        <v>0</v>
      </c>
      <c r="W52" s="32">
        <v>0</v>
      </c>
      <c r="X52" s="32">
        <v>121.274288</v>
      </c>
      <c r="Y52" s="32">
        <v>1517.75536</v>
      </c>
      <c r="Z52" s="32">
        <v>1639.029648</v>
      </c>
      <c r="AG52" s="35">
        <v>199.81487905959992</v>
      </c>
      <c r="AH52" s="35">
        <v>277.14</v>
      </c>
    </row>
    <row r="53" spans="1:34" s="1" customFormat="1" ht="14.25">
      <c r="A53" s="33">
        <v>11</v>
      </c>
      <c r="B53" s="33"/>
      <c r="C53" s="101" t="s">
        <v>78</v>
      </c>
      <c r="D53" s="112">
        <f>SUM(D42:D52)</f>
        <v>21707.97469376427</v>
      </c>
      <c r="E53" s="112">
        <f>SUM(E42:E52)</f>
        <v>32191.166322538404</v>
      </c>
      <c r="F53" s="113">
        <f t="shared" si="15"/>
        <v>53899.141016302674</v>
      </c>
      <c r="G53" s="112">
        <f aca="true" t="shared" si="27" ref="G53:P53">SUM(G42:G52)</f>
        <v>3896.632903180852</v>
      </c>
      <c r="H53" s="112">
        <f t="shared" si="27"/>
        <v>3669.7464645206264</v>
      </c>
      <c r="I53" s="113">
        <f t="shared" si="27"/>
        <v>61465.52038400416</v>
      </c>
      <c r="J53" s="112">
        <f t="shared" si="27"/>
        <v>984173.7294053223</v>
      </c>
      <c r="K53" s="112">
        <f t="shared" si="27"/>
        <v>68595.73322518078</v>
      </c>
      <c r="L53" s="112">
        <f t="shared" si="27"/>
        <v>105528.02892573066</v>
      </c>
      <c r="M53" s="112">
        <f t="shared" si="27"/>
        <v>155779.47127131667</v>
      </c>
      <c r="N53" s="112">
        <f t="shared" si="27"/>
        <v>484</v>
      </c>
      <c r="O53" s="112">
        <f t="shared" si="27"/>
        <v>3014</v>
      </c>
      <c r="P53" s="112">
        <f t="shared" si="27"/>
        <v>6299.464285714286</v>
      </c>
      <c r="Q53" s="112"/>
      <c r="R53" s="112">
        <f>SUM(R42:R52)</f>
        <v>351383.6461140106</v>
      </c>
      <c r="S53" s="112">
        <f>SUM(S42:S52)</f>
        <v>1385339.9474972687</v>
      </c>
      <c r="U53" s="34">
        <v>24051.1188303592</v>
      </c>
      <c r="V53" s="34">
        <v>36164.6615156943</v>
      </c>
      <c r="W53" s="34">
        <v>60215.7803460535</v>
      </c>
      <c r="X53" s="34">
        <v>228262.120423054</v>
      </c>
      <c r="Y53" s="34">
        <v>524839.889696732</v>
      </c>
      <c r="Z53" s="34">
        <v>813317.790465839</v>
      </c>
      <c r="AG53" s="35"/>
      <c r="AH53" s="35"/>
    </row>
    <row r="54" spans="1:26" ht="14.25">
      <c r="A54" s="3"/>
      <c r="B54" s="3"/>
      <c r="C54" s="101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U54" s="10"/>
      <c r="V54" s="10"/>
      <c r="W54" s="10"/>
      <c r="X54" s="10"/>
      <c r="Y54" s="10"/>
      <c r="Z54" s="10"/>
    </row>
    <row r="55" spans="1:26" ht="14.25">
      <c r="A55" s="3"/>
      <c r="B55" s="3"/>
      <c r="C55" s="101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U55" s="10"/>
      <c r="V55" s="10"/>
      <c r="W55" s="10"/>
      <c r="X55" s="10"/>
      <c r="Y55" s="10"/>
      <c r="Z55" s="10"/>
    </row>
    <row r="56" spans="1:26" ht="14.25">
      <c r="A56" s="3"/>
      <c r="B56" s="3"/>
      <c r="C56" s="101" t="s">
        <v>93</v>
      </c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U56" s="10"/>
      <c r="V56" s="10"/>
      <c r="W56" s="10"/>
      <c r="X56" s="10"/>
      <c r="Y56" s="10"/>
      <c r="Z56" s="10"/>
    </row>
    <row r="57" spans="1:34" ht="14.25">
      <c r="A57" s="3"/>
      <c r="B57" s="3">
        <v>37</v>
      </c>
      <c r="C57" s="117" t="s">
        <v>94</v>
      </c>
      <c r="D57" s="113">
        <f>U57*$E$279/100</f>
        <v>0</v>
      </c>
      <c r="E57" s="113">
        <f>V57*$E$279/100</f>
        <v>0</v>
      </c>
      <c r="F57" s="113">
        <f>D57+E57</f>
        <v>0</v>
      </c>
      <c r="G57" s="113">
        <f>E57*$G$279/100</f>
        <v>0</v>
      </c>
      <c r="H57" s="113">
        <f>E57*$H$279/100</f>
        <v>0</v>
      </c>
      <c r="I57" s="113">
        <f>F57+G57+H57</f>
        <v>0</v>
      </c>
      <c r="J57" s="113">
        <f>X57*$J$279/100</f>
        <v>53180.54905829399</v>
      </c>
      <c r="K57" s="113">
        <f>R57*$K$279/100</f>
        <v>17228.79981628939</v>
      </c>
      <c r="L57" s="113">
        <f>R57*$L$279/100</f>
        <v>26313.076083060158</v>
      </c>
      <c r="M57" s="113">
        <f>R57*$M$279/100-2000</f>
        <v>36843.11231308881</v>
      </c>
      <c r="N57" s="113">
        <v>44.84</v>
      </c>
      <c r="O57" s="112">
        <v>274</v>
      </c>
      <c r="P57" s="116">
        <v>572</v>
      </c>
      <c r="Q57" s="116"/>
      <c r="R57" s="113">
        <f>Y57*$R$279/100</f>
        <v>87616.38693212264</v>
      </c>
      <c r="S57" s="112">
        <f>I57+J57+K57+L57+M57+N57+O57+P57</f>
        <v>134456.37727073234</v>
      </c>
      <c r="U57" s="31">
        <v>0</v>
      </c>
      <c r="V57" s="31">
        <v>0</v>
      </c>
      <c r="W57" s="31">
        <v>0</v>
      </c>
      <c r="X57" s="31">
        <v>12334.3650731182</v>
      </c>
      <c r="Y57" s="31">
        <v>130866.647121612</v>
      </c>
      <c r="Z57" s="31">
        <v>143201.012194731</v>
      </c>
      <c r="AG57" s="13">
        <v>17228.79981628939</v>
      </c>
      <c r="AH57" s="13">
        <v>277.14</v>
      </c>
    </row>
    <row r="58" spans="1:34" ht="14.25">
      <c r="A58" s="3"/>
      <c r="B58" s="3">
        <v>38</v>
      </c>
      <c r="C58" s="117" t="s">
        <v>95</v>
      </c>
      <c r="D58" s="113">
        <f>U58*$E$279/100+100</f>
        <v>18558.75289292358</v>
      </c>
      <c r="E58" s="113">
        <f>V58*$E$279/100</f>
        <v>8736.986060009203</v>
      </c>
      <c r="F58" s="113">
        <f>D58+E58</f>
        <v>27295.738952932785</v>
      </c>
      <c r="G58" s="113">
        <f>E58*$G$279/100</f>
        <v>1057.5829100118087</v>
      </c>
      <c r="H58" s="113">
        <f>E58*$H$279/100</f>
        <v>990.5756027472231</v>
      </c>
      <c r="I58" s="113">
        <f>F58+G58+H58</f>
        <v>29343.897465691818</v>
      </c>
      <c r="J58" s="113">
        <f>X58*$J$279/100</f>
        <v>4605.871954815956</v>
      </c>
      <c r="K58" s="113">
        <f>R58*$K$279/100</f>
        <v>4988.474796986371</v>
      </c>
      <c r="L58" s="113">
        <f>R58*$L$279/100</f>
        <v>7618.7615081246395</v>
      </c>
      <c r="M58" s="113">
        <f>R58*$M$279/100</f>
        <v>11246.743178660183</v>
      </c>
      <c r="N58" s="113">
        <v>44.84</v>
      </c>
      <c r="O58" s="112">
        <v>274</v>
      </c>
      <c r="P58" s="116">
        <v>572</v>
      </c>
      <c r="Q58" s="116"/>
      <c r="R58" s="113">
        <f>Y58*$R$279/100</f>
        <v>25368.693273727593</v>
      </c>
      <c r="S58" s="112">
        <f>I58+J58+K58+L58+M58+N58+O58+P58</f>
        <v>58694.58890427896</v>
      </c>
      <c r="U58" s="31">
        <v>20737.7701832419</v>
      </c>
      <c r="V58" s="31">
        <v>9815.70152965854</v>
      </c>
      <c r="W58" s="31">
        <v>30554.4717129005</v>
      </c>
      <c r="X58" s="31">
        <v>1068.25723270483</v>
      </c>
      <c r="Y58" s="31">
        <v>37891.494352093</v>
      </c>
      <c r="Z58" s="31">
        <v>69513.2232976983</v>
      </c>
      <c r="AG58" s="13">
        <v>4988.474796986371</v>
      </c>
      <c r="AH58" s="13">
        <v>277.14</v>
      </c>
    </row>
    <row r="59" spans="1:26" ht="14.25">
      <c r="A59" s="3">
        <v>2</v>
      </c>
      <c r="B59" s="3"/>
      <c r="C59" s="101" t="s">
        <v>78</v>
      </c>
      <c r="D59" s="112">
        <f>SUM(D57:D58)</f>
        <v>18558.75289292358</v>
      </c>
      <c r="E59" s="112">
        <f>SUM(E57:E58)</f>
        <v>8736.986060009203</v>
      </c>
      <c r="F59" s="113">
        <f>D59+E59</f>
        <v>27295.738952932785</v>
      </c>
      <c r="G59" s="112">
        <f>SUM(G57:G58)</f>
        <v>1057.5829100118087</v>
      </c>
      <c r="H59" s="112">
        <f>SUM(H57:H58)</f>
        <v>990.5756027472231</v>
      </c>
      <c r="I59" s="113">
        <f>F59+G59+H59</f>
        <v>29343.897465691818</v>
      </c>
      <c r="J59" s="112">
        <f aca="true" t="shared" si="28" ref="J59:P59">SUM(J57:J58)</f>
        <v>57786.421013109946</v>
      </c>
      <c r="K59" s="112">
        <f t="shared" si="28"/>
        <v>22217.27461327576</v>
      </c>
      <c r="L59" s="112">
        <f t="shared" si="28"/>
        <v>33931.8375911848</v>
      </c>
      <c r="M59" s="112">
        <f t="shared" si="28"/>
        <v>48089.85549174899</v>
      </c>
      <c r="N59" s="112">
        <f t="shared" si="28"/>
        <v>89.68</v>
      </c>
      <c r="O59" s="112">
        <f t="shared" si="28"/>
        <v>548</v>
      </c>
      <c r="P59" s="112">
        <f t="shared" si="28"/>
        <v>1144</v>
      </c>
      <c r="Q59" s="112"/>
      <c r="R59" s="112">
        <f>SUM(R57:R58)</f>
        <v>112985.08020585023</v>
      </c>
      <c r="S59" s="112">
        <f>SUM(S57:S58)</f>
        <v>193150.9661750113</v>
      </c>
      <c r="U59" s="10">
        <v>20737.7701832419</v>
      </c>
      <c r="V59" s="10">
        <v>9815.70152965854</v>
      </c>
      <c r="W59" s="10">
        <v>30554.4717129005</v>
      </c>
      <c r="X59" s="10">
        <v>13401.622305823</v>
      </c>
      <c r="Y59" s="10">
        <v>168758.141473705</v>
      </c>
      <c r="Z59" s="10">
        <v>212714.235492429</v>
      </c>
    </row>
    <row r="60" spans="1:26" ht="14.25">
      <c r="A60" s="3"/>
      <c r="B60" s="3"/>
      <c r="C60" s="101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U60" s="10"/>
      <c r="V60" s="10"/>
      <c r="W60" s="10"/>
      <c r="X60" s="10"/>
      <c r="Y60" s="10"/>
      <c r="Z60" s="10"/>
    </row>
    <row r="61" spans="1:26" ht="14.25">
      <c r="A61" s="3"/>
      <c r="B61" s="3"/>
      <c r="C61" s="101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U61" s="10"/>
      <c r="V61" s="10"/>
      <c r="W61" s="10"/>
      <c r="X61" s="10"/>
      <c r="Y61" s="10"/>
      <c r="Z61" s="10"/>
    </row>
    <row r="62" spans="1:26" ht="14.25">
      <c r="A62" s="3"/>
      <c r="B62" s="3"/>
      <c r="C62" s="117" t="s">
        <v>96</v>
      </c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U62" s="10"/>
      <c r="V62" s="10"/>
      <c r="W62" s="10"/>
      <c r="X62" s="10"/>
      <c r="Y62" s="10"/>
      <c r="Z62" s="10"/>
    </row>
    <row r="63" spans="1:34" ht="14.25">
      <c r="A63" s="3"/>
      <c r="B63" s="3">
        <v>39</v>
      </c>
      <c r="C63" s="117" t="s">
        <v>97</v>
      </c>
      <c r="D63" s="113">
        <f>U63*$E$279/100+100</f>
        <v>25870.44654455996</v>
      </c>
      <c r="E63" s="113">
        <f aca="true" t="shared" si="29" ref="E63:E69">V63*$E$279/100</f>
        <v>6852.730314123025</v>
      </c>
      <c r="F63" s="113">
        <f aca="true" t="shared" si="30" ref="F63:F70">D63+E63</f>
        <v>32723.176858682986</v>
      </c>
      <c r="G63" s="113">
        <f aca="true" t="shared" si="31" ref="G63:G69">E63*$G$279/100</f>
        <v>829.50006070271</v>
      </c>
      <c r="H63" s="113">
        <f aca="true" t="shared" si="32" ref="H63:H69">E63*$H$279/100</f>
        <v>776.9438356376905</v>
      </c>
      <c r="I63" s="113">
        <f aca="true" t="shared" si="33" ref="I63:I69">F63+G63+H63</f>
        <v>34329.62075502339</v>
      </c>
      <c r="J63" s="113">
        <f aca="true" t="shared" si="34" ref="J63:J69">X63*$J$279/100</f>
        <v>30842.07007743645</v>
      </c>
      <c r="K63" s="113">
        <f aca="true" t="shared" si="35" ref="K63:K69">R63*$K$279/100</f>
        <v>10696.218053073093</v>
      </c>
      <c r="L63" s="113">
        <f>R63*$L$279/100</f>
        <v>16336.042117420724</v>
      </c>
      <c r="M63" s="113">
        <f>R63*$M$279/100-2000</f>
        <v>22115.109792382973</v>
      </c>
      <c r="N63" s="113">
        <v>44.84</v>
      </c>
      <c r="O63" s="112">
        <v>274</v>
      </c>
      <c r="P63" s="116">
        <v>572</v>
      </c>
      <c r="Q63" s="116"/>
      <c r="R63" s="113">
        <f aca="true" t="shared" si="36" ref="R63:R69">Y63*$R$279/100</f>
        <v>54395.198135760045</v>
      </c>
      <c r="S63" s="112">
        <f aca="true" t="shared" si="37" ref="S63:S69">I63+J63+K63+L63+M63+N63+O63+P63</f>
        <v>115209.90079533664</v>
      </c>
      <c r="U63" s="31">
        <v>28952.2050086863</v>
      </c>
      <c r="V63" s="31">
        <v>7698.80539635472</v>
      </c>
      <c r="W63" s="31">
        <v>36651.010405041</v>
      </c>
      <c r="X63" s="31">
        <v>7153.31749449974</v>
      </c>
      <c r="Y63" s="31">
        <v>81246.4134712319</v>
      </c>
      <c r="Z63" s="31">
        <v>125049.741370773</v>
      </c>
      <c r="AG63" s="13">
        <v>10696.218053073093</v>
      </c>
      <c r="AH63" s="13">
        <v>277.14</v>
      </c>
    </row>
    <row r="64" spans="1:34" ht="14.25">
      <c r="A64" s="3"/>
      <c r="B64" s="3">
        <v>40</v>
      </c>
      <c r="C64" s="117" t="s">
        <v>98</v>
      </c>
      <c r="D64" s="113">
        <f>U64*$E$279/100</f>
        <v>0</v>
      </c>
      <c r="E64" s="113">
        <f t="shared" si="29"/>
        <v>0</v>
      </c>
      <c r="F64" s="113">
        <f t="shared" si="30"/>
        <v>0</v>
      </c>
      <c r="G64" s="113">
        <f t="shared" si="31"/>
        <v>0</v>
      </c>
      <c r="H64" s="113">
        <f t="shared" si="32"/>
        <v>0</v>
      </c>
      <c r="I64" s="113">
        <f t="shared" si="33"/>
        <v>0</v>
      </c>
      <c r="J64" s="113">
        <f t="shared" si="34"/>
        <v>590524.6006668969</v>
      </c>
      <c r="K64" s="113">
        <f t="shared" si="35"/>
        <v>13955.019862354768</v>
      </c>
      <c r="L64" s="113">
        <f>R64*$L$279/100-313</f>
        <v>21000.121244323644</v>
      </c>
      <c r="M64" s="113">
        <f>R64*$M$279/100-2000</f>
        <v>29462.226598763475</v>
      </c>
      <c r="N64" s="113">
        <v>44.84</v>
      </c>
      <c r="O64" s="112">
        <v>274</v>
      </c>
      <c r="P64" s="116">
        <v>572</v>
      </c>
      <c r="Q64" s="116"/>
      <c r="R64" s="113">
        <f t="shared" si="36"/>
        <v>70967.70714983359</v>
      </c>
      <c r="S64" s="112">
        <f t="shared" si="37"/>
        <v>655832.8083723388</v>
      </c>
      <c r="U64" s="31">
        <v>0</v>
      </c>
      <c r="V64" s="31">
        <v>0</v>
      </c>
      <c r="W64" s="31">
        <v>0</v>
      </c>
      <c r="X64" s="31">
        <v>136962.595126627</v>
      </c>
      <c r="Y64" s="31">
        <v>105999.644744563</v>
      </c>
      <c r="Z64" s="31">
        <v>242963.23987119</v>
      </c>
      <c r="AG64" s="13">
        <v>13955.019862354768</v>
      </c>
      <c r="AH64" s="13">
        <v>277.14</v>
      </c>
    </row>
    <row r="65" spans="1:34" ht="14.25">
      <c r="A65" s="3"/>
      <c r="B65" s="3">
        <v>41</v>
      </c>
      <c r="C65" s="117" t="s">
        <v>99</v>
      </c>
      <c r="D65" s="113">
        <f>U65*$E$279/100+100</f>
        <v>56844.825254813644</v>
      </c>
      <c r="E65" s="113">
        <f t="shared" si="29"/>
        <v>5144.93972654043</v>
      </c>
      <c r="F65" s="113">
        <f t="shared" si="30"/>
        <v>61989.76498135408</v>
      </c>
      <c r="G65" s="113">
        <f t="shared" si="31"/>
        <v>622.7777279782287</v>
      </c>
      <c r="H65" s="113">
        <f t="shared" si="32"/>
        <v>583.3192059265516</v>
      </c>
      <c r="I65" s="113">
        <f t="shared" si="33"/>
        <v>63195.86191525886</v>
      </c>
      <c r="J65" s="113">
        <f t="shared" si="34"/>
        <v>23397.82953046512</v>
      </c>
      <c r="K65" s="113">
        <f t="shared" si="35"/>
        <v>8557.320482353882</v>
      </c>
      <c r="L65" s="113">
        <f>R65*$L$279/100</f>
        <v>13069.362191231383</v>
      </c>
      <c r="M65" s="113">
        <f>R65*$M$279/100</f>
        <v>19292.867996579662</v>
      </c>
      <c r="N65" s="113">
        <v>44.84</v>
      </c>
      <c r="O65" s="112">
        <v>274</v>
      </c>
      <c r="P65" s="116">
        <v>572</v>
      </c>
      <c r="Q65" s="116"/>
      <c r="R65" s="113">
        <f t="shared" si="36"/>
        <v>43517.91828094814</v>
      </c>
      <c r="S65" s="112">
        <f t="shared" si="37"/>
        <v>128404.0821158889</v>
      </c>
      <c r="U65" s="31">
        <v>63750.8477440897</v>
      </c>
      <c r="V65" s="31">
        <v>5780.16176252783</v>
      </c>
      <c r="W65" s="31">
        <v>69531.0095066175</v>
      </c>
      <c r="X65" s="31">
        <v>5426.74674214055</v>
      </c>
      <c r="Y65" s="31">
        <v>64999.7592294236</v>
      </c>
      <c r="Z65" s="31">
        <v>139957.515478182</v>
      </c>
      <c r="AG65" s="13">
        <v>8557.320482353882</v>
      </c>
      <c r="AH65" s="13">
        <v>277.14</v>
      </c>
    </row>
    <row r="66" spans="1:34" ht="14.25">
      <c r="A66" s="3"/>
      <c r="B66" s="3">
        <v>42</v>
      </c>
      <c r="C66" s="117" t="s">
        <v>100</v>
      </c>
      <c r="D66" s="113">
        <f>U66*$E$279/100+200</f>
        <v>29573.130013231475</v>
      </c>
      <c r="E66" s="113">
        <f t="shared" si="29"/>
        <v>9242.852847146227</v>
      </c>
      <c r="F66" s="113">
        <f t="shared" si="30"/>
        <v>38815.9828603777</v>
      </c>
      <c r="G66" s="113">
        <f t="shared" si="31"/>
        <v>1118.8163908877223</v>
      </c>
      <c r="H66" s="113">
        <f t="shared" si="32"/>
        <v>1047.9293966226285</v>
      </c>
      <c r="I66" s="113">
        <f t="shared" si="33"/>
        <v>40982.72864788805</v>
      </c>
      <c r="J66" s="113">
        <f t="shared" si="34"/>
        <v>1600.540504298552</v>
      </c>
      <c r="K66" s="113">
        <f t="shared" si="35"/>
        <v>1766.0747595222222</v>
      </c>
      <c r="L66" s="113">
        <f>R66*$L$279/100</f>
        <v>2697.27781454303</v>
      </c>
      <c r="M66" s="113">
        <f>R66*$M$279/100</f>
        <v>3981.695821468283</v>
      </c>
      <c r="N66" s="113">
        <v>44.84</v>
      </c>
      <c r="O66" s="112">
        <v>274</v>
      </c>
      <c r="P66" s="116">
        <v>572</v>
      </c>
      <c r="Q66" s="116"/>
      <c r="R66" s="113">
        <f t="shared" si="36"/>
        <v>8981.304045047555</v>
      </c>
      <c r="S66" s="112">
        <f t="shared" si="37"/>
        <v>51919.157547720126</v>
      </c>
      <c r="U66" s="31">
        <v>32999.6952291614</v>
      </c>
      <c r="V66" s="31">
        <v>10384.0253614925</v>
      </c>
      <c r="W66" s="31">
        <v>43383.7205906539</v>
      </c>
      <c r="X66" s="31">
        <v>371.21938836493</v>
      </c>
      <c r="Y66" s="31">
        <v>13414.7639306983</v>
      </c>
      <c r="Z66" s="31">
        <v>57169.7039097172</v>
      </c>
      <c r="AG66" s="13">
        <v>1766.0747595222222</v>
      </c>
      <c r="AH66" s="13">
        <v>277.14</v>
      </c>
    </row>
    <row r="67" spans="1:34" ht="14.25">
      <c r="A67" s="3"/>
      <c r="B67" s="3">
        <v>43</v>
      </c>
      <c r="C67" s="117" t="s">
        <v>64</v>
      </c>
      <c r="D67" s="113">
        <f>U67*$E$279/100+50</f>
        <v>1368.2426458034076</v>
      </c>
      <c r="E67" s="113">
        <f t="shared" si="29"/>
        <v>0</v>
      </c>
      <c r="F67" s="113">
        <f t="shared" si="30"/>
        <v>1368.2426458034076</v>
      </c>
      <c r="G67" s="113">
        <f t="shared" si="31"/>
        <v>0</v>
      </c>
      <c r="H67" s="113">
        <f t="shared" si="32"/>
        <v>0</v>
      </c>
      <c r="I67" s="113">
        <f t="shared" si="33"/>
        <v>1368.2426458034076</v>
      </c>
      <c r="J67" s="113">
        <f t="shared" si="34"/>
        <v>0</v>
      </c>
      <c r="K67" s="113">
        <f t="shared" si="35"/>
        <v>544.9058565193827</v>
      </c>
      <c r="L67" s="113">
        <f>R67*$L$279/100</f>
        <v>832.2198535932389</v>
      </c>
      <c r="M67" s="113">
        <f>R67*$M$279/100</f>
        <v>1228.515021970972</v>
      </c>
      <c r="N67" s="113">
        <v>44.84</v>
      </c>
      <c r="O67" s="112">
        <v>274</v>
      </c>
      <c r="P67" s="116">
        <v>572</v>
      </c>
      <c r="Q67" s="116"/>
      <c r="R67" s="113">
        <f t="shared" si="36"/>
        <v>2771.097399439423</v>
      </c>
      <c r="S67" s="112">
        <f t="shared" si="37"/>
        <v>4864.723377887001</v>
      </c>
      <c r="U67" s="31">
        <v>1481</v>
      </c>
      <c r="V67" s="31">
        <v>0</v>
      </c>
      <c r="W67" s="31">
        <v>1481</v>
      </c>
      <c r="X67" s="31">
        <v>0</v>
      </c>
      <c r="Y67" s="31">
        <v>4139</v>
      </c>
      <c r="Z67" s="31">
        <v>5620</v>
      </c>
      <c r="AG67" s="13">
        <v>544.9058565193827</v>
      </c>
      <c r="AH67" s="13">
        <v>277.14</v>
      </c>
    </row>
    <row r="68" spans="1:34" ht="14.25">
      <c r="A68" s="3"/>
      <c r="B68" s="3">
        <v>44</v>
      </c>
      <c r="C68" s="117" t="s">
        <v>101</v>
      </c>
      <c r="D68" s="113">
        <f>U68*$E$279/100</f>
        <v>0</v>
      </c>
      <c r="E68" s="113">
        <f t="shared" si="29"/>
        <v>0</v>
      </c>
      <c r="F68" s="113">
        <f t="shared" si="30"/>
        <v>0</v>
      </c>
      <c r="G68" s="113">
        <f t="shared" si="31"/>
        <v>0</v>
      </c>
      <c r="H68" s="113">
        <f t="shared" si="32"/>
        <v>0</v>
      </c>
      <c r="I68" s="113">
        <f t="shared" si="33"/>
        <v>0</v>
      </c>
      <c r="J68" s="113">
        <f t="shared" si="34"/>
        <v>0</v>
      </c>
      <c r="K68" s="113">
        <f t="shared" si="35"/>
        <v>238.15769375297492</v>
      </c>
      <c r="L68" s="113">
        <f>R68*$L$279/100</f>
        <v>363.73175045908897</v>
      </c>
      <c r="M68" s="113">
        <f>R68*$M$279/100</f>
        <v>536.937345915798</v>
      </c>
      <c r="N68" s="113">
        <v>44.84</v>
      </c>
      <c r="O68" s="112">
        <v>274</v>
      </c>
      <c r="P68" s="116">
        <v>572</v>
      </c>
      <c r="Q68" s="116"/>
      <c r="R68" s="113">
        <f t="shared" si="36"/>
        <v>1211.1416273461984</v>
      </c>
      <c r="S68" s="112">
        <f t="shared" si="37"/>
        <v>2029.6667901278618</v>
      </c>
      <c r="U68" s="31">
        <v>0</v>
      </c>
      <c r="V68" s="31">
        <v>0</v>
      </c>
      <c r="W68" s="31">
        <v>0</v>
      </c>
      <c r="X68" s="31">
        <v>0</v>
      </c>
      <c r="Y68" s="31">
        <v>1809</v>
      </c>
      <c r="Z68" s="31">
        <v>1809</v>
      </c>
      <c r="AG68" s="13">
        <v>238.15769375297492</v>
      </c>
      <c r="AH68" s="13">
        <v>277.14</v>
      </c>
    </row>
    <row r="69" spans="1:34" ht="14.25">
      <c r="A69" s="3"/>
      <c r="B69" s="3">
        <v>45</v>
      </c>
      <c r="C69" s="117" t="s">
        <v>102</v>
      </c>
      <c r="D69" s="113">
        <f>U69*$E$279/100</f>
        <v>0</v>
      </c>
      <c r="E69" s="113">
        <f t="shared" si="29"/>
        <v>0</v>
      </c>
      <c r="F69" s="113">
        <f t="shared" si="30"/>
        <v>0</v>
      </c>
      <c r="G69" s="113">
        <f t="shared" si="31"/>
        <v>0</v>
      </c>
      <c r="H69" s="113">
        <f t="shared" si="32"/>
        <v>0</v>
      </c>
      <c r="I69" s="113">
        <f t="shared" si="33"/>
        <v>0</v>
      </c>
      <c r="J69" s="113">
        <f t="shared" si="34"/>
        <v>2130.215779102385</v>
      </c>
      <c r="K69" s="113">
        <f t="shared" si="35"/>
        <v>5886.400260443925</v>
      </c>
      <c r="L69" s="113">
        <f>R69*$L$279/100</f>
        <v>8990.138579587085</v>
      </c>
      <c r="M69" s="113">
        <f>R69*$M$279/100</f>
        <v>13271.15695081903</v>
      </c>
      <c r="N69" s="113">
        <v>44.84</v>
      </c>
      <c r="O69" s="112">
        <v>274</v>
      </c>
      <c r="P69" s="116">
        <v>572</v>
      </c>
      <c r="Q69" s="116"/>
      <c r="R69" s="113">
        <f t="shared" si="36"/>
        <v>29935.058062998593</v>
      </c>
      <c r="S69" s="112">
        <f t="shared" si="37"/>
        <v>31168.751569952427</v>
      </c>
      <c r="U69" s="31">
        <v>0</v>
      </c>
      <c r="V69" s="31">
        <v>0</v>
      </c>
      <c r="W69" s="31">
        <v>0</v>
      </c>
      <c r="X69" s="31">
        <v>494.068970125985</v>
      </c>
      <c r="Y69" s="31">
        <v>44711.9633354698</v>
      </c>
      <c r="Z69" s="31">
        <v>45206.0323055957</v>
      </c>
      <c r="AG69" s="13">
        <v>5886.400260443925</v>
      </c>
      <c r="AH69" s="13">
        <v>277.14</v>
      </c>
    </row>
    <row r="70" spans="1:26" ht="14.25">
      <c r="A70" s="3">
        <v>7</v>
      </c>
      <c r="B70" s="3"/>
      <c r="C70" s="101" t="s">
        <v>78</v>
      </c>
      <c r="D70" s="112">
        <f>SUM(D63:D69)</f>
        <v>113656.64445840848</v>
      </c>
      <c r="E70" s="112">
        <f>SUM(E63:E69)</f>
        <v>21240.522887809682</v>
      </c>
      <c r="F70" s="113">
        <f t="shared" si="30"/>
        <v>134897.16734621816</v>
      </c>
      <c r="G70" s="112">
        <f aca="true" t="shared" si="38" ref="G70:P70">SUM(G63:G69)</f>
        <v>2571.094179568661</v>
      </c>
      <c r="H70" s="112">
        <f t="shared" si="38"/>
        <v>2408.1924381868707</v>
      </c>
      <c r="I70" s="113">
        <f t="shared" si="38"/>
        <v>139876.4539639737</v>
      </c>
      <c r="J70" s="112">
        <f t="shared" si="38"/>
        <v>648495.2565581993</v>
      </c>
      <c r="K70" s="112">
        <f t="shared" si="38"/>
        <v>41644.09696802025</v>
      </c>
      <c r="L70" s="112">
        <f t="shared" si="38"/>
        <v>63288.89355115819</v>
      </c>
      <c r="M70" s="112">
        <f t="shared" si="38"/>
        <v>89888.5095279002</v>
      </c>
      <c r="N70" s="112">
        <f t="shared" si="38"/>
        <v>313.88</v>
      </c>
      <c r="O70" s="112">
        <f t="shared" si="38"/>
        <v>1918</v>
      </c>
      <c r="P70" s="112">
        <f t="shared" si="38"/>
        <v>4004</v>
      </c>
      <c r="Q70" s="112"/>
      <c r="R70" s="112">
        <f>SUM(R63:R69)</f>
        <v>211779.42470137356</v>
      </c>
      <c r="S70" s="112">
        <f>SUM(S63:S69)</f>
        <v>989429.0905692519</v>
      </c>
      <c r="U70" s="10">
        <v>127183.747981937</v>
      </c>
      <c r="V70" s="10">
        <v>23862.992520375</v>
      </c>
      <c r="W70" s="10">
        <v>151046.740502312</v>
      </c>
      <c r="X70" s="10">
        <v>150407.947721758</v>
      </c>
      <c r="Y70" s="10">
        <v>316320.544711387</v>
      </c>
      <c r="Z70" s="10">
        <v>617776.232935458</v>
      </c>
    </row>
    <row r="71" spans="1:26" ht="14.25">
      <c r="A71" s="3"/>
      <c r="B71" s="3"/>
      <c r="C71" s="101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U71" s="10"/>
      <c r="V71" s="10"/>
      <c r="W71" s="10"/>
      <c r="X71" s="10"/>
      <c r="Y71" s="10"/>
      <c r="Z71" s="10"/>
    </row>
    <row r="72" spans="1:26" ht="14.25">
      <c r="A72" s="3"/>
      <c r="B72" s="3"/>
      <c r="C72" s="101" t="s">
        <v>103</v>
      </c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U72" s="10"/>
      <c r="V72" s="10"/>
      <c r="W72" s="10"/>
      <c r="X72" s="10"/>
      <c r="Y72" s="10"/>
      <c r="Z72" s="10"/>
    </row>
    <row r="73" spans="1:34" ht="14.25">
      <c r="A73" s="3">
        <v>1</v>
      </c>
      <c r="B73" s="3">
        <v>46</v>
      </c>
      <c r="C73" s="117" t="s">
        <v>71</v>
      </c>
      <c r="D73" s="113">
        <f>U73*$E$279/100</f>
        <v>67583.5346193998</v>
      </c>
      <c r="E73" s="113">
        <f>V73*$E$279/100</f>
        <v>0</v>
      </c>
      <c r="F73" s="113">
        <f>D73+E73</f>
        <v>67583.5346193998</v>
      </c>
      <c r="G73" s="113">
        <f>E73*$G$279/100</f>
        <v>0</v>
      </c>
      <c r="H73" s="113">
        <f>E73*$H$279/100</f>
        <v>0</v>
      </c>
      <c r="I73" s="113">
        <f>F73+G73+H73</f>
        <v>67583.5346193998</v>
      </c>
      <c r="J73" s="113">
        <f>X73*431.16/100</f>
        <v>46058.97884530145</v>
      </c>
      <c r="K73" s="113">
        <f>Y73*19.67/100</f>
        <v>13866.524537779891</v>
      </c>
      <c r="L73" s="113">
        <f>Y73*30.04/100</f>
        <v>21176.939355104623</v>
      </c>
      <c r="M73" s="113">
        <f>Y73*44.34/100</f>
        <v>31257.839247847503</v>
      </c>
      <c r="N73" s="113">
        <v>44.84</v>
      </c>
      <c r="O73" s="122">
        <v>277.14</v>
      </c>
      <c r="P73" s="113">
        <v>572.6785714285714</v>
      </c>
      <c r="Q73" s="113"/>
      <c r="R73" s="113">
        <f>Y73*$R$279/100</f>
        <v>47197.56888135363</v>
      </c>
      <c r="S73" s="112">
        <f>I73+J73+K73+L73+M73+N73+O73+P73</f>
        <v>180838.47517686183</v>
      </c>
      <c r="U73" s="31">
        <v>75927.7626846385</v>
      </c>
      <c r="V73" s="31">
        <v>0</v>
      </c>
      <c r="W73" s="31">
        <v>75927.7626846385</v>
      </c>
      <c r="X73" s="31">
        <v>10682.5723270483</v>
      </c>
      <c r="Y73" s="31">
        <v>70495.8034457544</v>
      </c>
      <c r="Z73" s="31">
        <v>157107.138457441</v>
      </c>
      <c r="AG73" s="13">
        <v>13866.524537779891</v>
      </c>
      <c r="AH73" s="13">
        <v>277.14</v>
      </c>
    </row>
    <row r="74" spans="1:26" ht="14.25">
      <c r="A74" s="3"/>
      <c r="B74" s="3"/>
      <c r="C74" s="101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U74" s="10"/>
      <c r="V74" s="10"/>
      <c r="W74" s="10"/>
      <c r="X74" s="10"/>
      <c r="Y74" s="10"/>
      <c r="Z74" s="10"/>
    </row>
    <row r="75" spans="1:26" ht="14.25">
      <c r="A75" s="3"/>
      <c r="B75" s="3"/>
      <c r="C75" s="101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U75" s="10"/>
      <c r="V75" s="10"/>
      <c r="W75" s="10"/>
      <c r="X75" s="10"/>
      <c r="Y75" s="10"/>
      <c r="Z75" s="10"/>
    </row>
    <row r="76" spans="1:34" s="1" customFormat="1" ht="14.25">
      <c r="A76" s="33"/>
      <c r="B76" s="33"/>
      <c r="C76" s="101" t="s">
        <v>104</v>
      </c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U76" s="34"/>
      <c r="V76" s="34"/>
      <c r="W76" s="34"/>
      <c r="X76" s="34"/>
      <c r="Y76" s="34"/>
      <c r="Z76" s="34"/>
      <c r="AG76" s="35"/>
      <c r="AH76" s="35"/>
    </row>
    <row r="77" spans="1:34" s="1" customFormat="1" ht="14.25">
      <c r="A77" s="33"/>
      <c r="B77" s="33">
        <v>47</v>
      </c>
      <c r="C77" s="117" t="s">
        <v>105</v>
      </c>
      <c r="D77" s="113">
        <f>U77*$E$279/100+200</f>
        <v>73963.20406616114</v>
      </c>
      <c r="E77" s="113">
        <f>V77*$E$279/100</f>
        <v>35589.10098187322</v>
      </c>
      <c r="F77" s="113">
        <f>D77+E77</f>
        <v>109552.30504803435</v>
      </c>
      <c r="G77" s="113">
        <f>E77*$G$279/100</f>
        <v>4307.941516971352</v>
      </c>
      <c r="H77" s="113">
        <f>E77*$H$279/100</f>
        <v>4034.995010203063</v>
      </c>
      <c r="I77" s="113">
        <f>F77+G77+H77</f>
        <v>117895.24157520875</v>
      </c>
      <c r="J77" s="113">
        <f>X77*$J$279/100</f>
        <v>0</v>
      </c>
      <c r="K77" s="113">
        <f>R77*$K$279/100</f>
        <v>635.353805538651</v>
      </c>
      <c r="L77" s="113">
        <f>R77*$L$279/100</f>
        <v>970.3585393681216</v>
      </c>
      <c r="M77" s="113">
        <f>R77*$M$279/100</f>
        <v>1432.4340343053223</v>
      </c>
      <c r="N77" s="113">
        <v>44.84</v>
      </c>
      <c r="O77" s="112">
        <v>277</v>
      </c>
      <c r="P77" s="113">
        <v>572.6785714285714</v>
      </c>
      <c r="Q77" s="113"/>
      <c r="R77" s="113">
        <f>Y77*$R$279/100</f>
        <v>3231.0669030026656</v>
      </c>
      <c r="S77" s="112">
        <f>I77+J77+K77+L77+M77+N77+O77+P77</f>
        <v>121827.90652584941</v>
      </c>
      <c r="U77" s="32">
        <v>82870.4074851151</v>
      </c>
      <c r="V77" s="32">
        <v>39983.1235334004</v>
      </c>
      <c r="W77" s="32">
        <v>122852.531018515</v>
      </c>
      <c r="X77" s="32">
        <v>0</v>
      </c>
      <c r="Y77" s="32">
        <v>4826.0252108906</v>
      </c>
      <c r="Z77" s="32">
        <v>127678.556229406</v>
      </c>
      <c r="AG77" s="35">
        <v>635.353805538651</v>
      </c>
      <c r="AH77" s="35">
        <v>277.14</v>
      </c>
    </row>
    <row r="78" spans="1:34" s="1" customFormat="1" ht="14.25">
      <c r="A78" s="33"/>
      <c r="B78" s="33">
        <v>48</v>
      </c>
      <c r="C78" s="117" t="s">
        <v>106</v>
      </c>
      <c r="D78" s="113">
        <f>U78*$E$279/100</f>
        <v>22074.197226636075</v>
      </c>
      <c r="E78" s="113">
        <f>V78*$E$279/100</f>
        <v>3690.0825325263363</v>
      </c>
      <c r="F78" s="113">
        <f>D78+E78</f>
        <v>25764.27975916241</v>
      </c>
      <c r="G78" s="113">
        <f>E78*$G$279/100</f>
        <v>446.6721356917029</v>
      </c>
      <c r="H78" s="113">
        <f>E78*$H$279/100</f>
        <v>418.37147315311444</v>
      </c>
      <c r="I78" s="113">
        <f>F78+G78+H78</f>
        <v>26629.32336800723</v>
      </c>
      <c r="J78" s="113">
        <f>X78*$J$279/100</f>
        <v>0</v>
      </c>
      <c r="K78" s="113">
        <f>R78*$K$279/100</f>
        <v>1076.5824678147326</v>
      </c>
      <c r="L78" s="113">
        <f>R78*$L$279/100</f>
        <v>1644.2350417534096</v>
      </c>
      <c r="M78" s="113">
        <f>R78*$M$279/100</f>
        <v>2427.2041092550335</v>
      </c>
      <c r="N78" s="113">
        <v>44.84</v>
      </c>
      <c r="O78" s="112">
        <v>277</v>
      </c>
      <c r="P78" s="113">
        <v>572.6785714285714</v>
      </c>
      <c r="Q78" s="113"/>
      <c r="R78" s="113">
        <f>Y78*$R$279/100</f>
        <v>5474.9179902370215</v>
      </c>
      <c r="S78" s="112">
        <f>I78+J78+K78+L78+M78+N78+O78+P78</f>
        <v>32671.86355825898</v>
      </c>
      <c r="U78" s="32">
        <v>24799.5967940514</v>
      </c>
      <c r="V78" s="32">
        <v>4145.68004461791</v>
      </c>
      <c r="W78" s="32">
        <v>28946.2768386693</v>
      </c>
      <c r="X78" s="32">
        <v>0</v>
      </c>
      <c r="Y78" s="32">
        <v>8177.51319970751</v>
      </c>
      <c r="Z78" s="32">
        <v>37123.7900383768</v>
      </c>
      <c r="AG78" s="35">
        <v>1076.5824678147326</v>
      </c>
      <c r="AH78" s="35">
        <v>277.14</v>
      </c>
    </row>
    <row r="79" spans="1:34" s="1" customFormat="1" ht="14.25">
      <c r="A79" s="33"/>
      <c r="B79" s="33">
        <v>49</v>
      </c>
      <c r="C79" s="117" t="s">
        <v>75</v>
      </c>
      <c r="D79" s="113">
        <f>U79*$E$279/100+200</f>
        <v>255.18639030372134</v>
      </c>
      <c r="E79" s="113">
        <f>V79*$E$279/100</f>
        <v>0</v>
      </c>
      <c r="F79" s="113">
        <f>D79+E79</f>
        <v>255.18639030372134</v>
      </c>
      <c r="G79" s="113">
        <f>E79*$G$279/100</f>
        <v>0</v>
      </c>
      <c r="H79" s="113">
        <f>E79*$H$279/100</f>
        <v>0</v>
      </c>
      <c r="I79" s="113">
        <f>F79+G79+H79</f>
        <v>255.18639030372134</v>
      </c>
      <c r="J79" s="113">
        <f>X79*$J$279/100</f>
        <v>237.13666498982016</v>
      </c>
      <c r="K79" s="113">
        <f>R79*$K$279/100</f>
        <v>116.37998965043107</v>
      </c>
      <c r="L79" s="113">
        <f>R79*$L$279/100</f>
        <v>177.74398419338561</v>
      </c>
      <c r="M79" s="113">
        <f>R79*$M$279/100</f>
        <v>262.3839766664264</v>
      </c>
      <c r="N79" s="113">
        <v>44.84</v>
      </c>
      <c r="O79" s="112">
        <v>277</v>
      </c>
      <c r="P79" s="113">
        <v>572.6785714285714</v>
      </c>
      <c r="Q79" s="113"/>
      <c r="R79" s="113">
        <f>Y79*$R$279/100</f>
        <v>591.8458809143391</v>
      </c>
      <c r="S79" s="112">
        <f>I79+J79+K79+L79+M79+N79+O79+P79</f>
        <v>1943.3495772323558</v>
      </c>
      <c r="U79" s="32">
        <v>62</v>
      </c>
      <c r="V79" s="32">
        <v>0</v>
      </c>
      <c r="W79" s="32">
        <v>62</v>
      </c>
      <c r="X79" s="32">
        <v>55</v>
      </c>
      <c r="Y79" s="32">
        <v>884</v>
      </c>
      <c r="Z79" s="32">
        <v>1001</v>
      </c>
      <c r="AG79" s="35">
        <v>116.37998965043107</v>
      </c>
      <c r="AH79" s="35">
        <v>277.14</v>
      </c>
    </row>
    <row r="80" spans="1:34" s="1" customFormat="1" ht="14.25">
      <c r="A80" s="33"/>
      <c r="B80" s="33">
        <v>50</v>
      </c>
      <c r="C80" s="117" t="s">
        <v>107</v>
      </c>
      <c r="D80" s="113">
        <f>U80*$E$279/100</f>
        <v>0</v>
      </c>
      <c r="E80" s="113">
        <f>V80*$E$279/100</f>
        <v>23995.340081326907</v>
      </c>
      <c r="F80" s="113">
        <f>D80+E80</f>
        <v>23995.340081326907</v>
      </c>
      <c r="G80" s="113">
        <f>E80*$G$279/100</f>
        <v>2904.555577361877</v>
      </c>
      <c r="H80" s="113">
        <f>E80*$H$279/100</f>
        <v>2720.5260831284845</v>
      </c>
      <c r="I80" s="113">
        <f>F80+G80+H80</f>
        <v>29620.421741817267</v>
      </c>
      <c r="J80" s="113">
        <f>X80*$J$279/100</f>
        <v>78471.45770287151</v>
      </c>
      <c r="K80" s="113">
        <f>R80*$K$279/100</f>
        <v>10005.583406560285</v>
      </c>
      <c r="L80" s="113">
        <f>R80*$L$279/100</f>
        <v>15281.254657292071</v>
      </c>
      <c r="M80" s="113">
        <f>R80*$M$279/100</f>
        <v>22558.042589335913</v>
      </c>
      <c r="N80" s="113">
        <v>44.84</v>
      </c>
      <c r="O80" s="112">
        <v>277</v>
      </c>
      <c r="P80" s="113">
        <v>572.6785714285714</v>
      </c>
      <c r="Q80" s="113"/>
      <c r="R80" s="113">
        <f>Y80*$R$279/100</f>
        <v>50883.00268031198</v>
      </c>
      <c r="S80" s="112">
        <f>I80+J80+K80+L80+M80+N80+O80+P80</f>
        <v>156831.2786693056</v>
      </c>
      <c r="U80" s="32">
        <v>0</v>
      </c>
      <c r="V80" s="32">
        <v>26957.9343177651</v>
      </c>
      <c r="W80" s="32">
        <v>26957.9343177651</v>
      </c>
      <c r="X80" s="32">
        <v>18200.1807853847</v>
      </c>
      <c r="Y80" s="32">
        <v>76000.4856330259</v>
      </c>
      <c r="Z80" s="32">
        <v>121157.600736176</v>
      </c>
      <c r="AG80" s="35">
        <v>10005.583406560285</v>
      </c>
      <c r="AH80" s="35">
        <v>277.14</v>
      </c>
    </row>
    <row r="81" spans="1:34" s="1" customFormat="1" ht="14.25">
      <c r="A81" s="33">
        <v>4</v>
      </c>
      <c r="B81" s="33"/>
      <c r="C81" s="101" t="s">
        <v>78</v>
      </c>
      <c r="D81" s="113">
        <f>SUM(D77:D80)</f>
        <v>96292.58768310094</v>
      </c>
      <c r="E81" s="113">
        <f>SUM(E77:E80)</f>
        <v>63274.52359572647</v>
      </c>
      <c r="F81" s="113">
        <f>D81+E81</f>
        <v>159567.11127882742</v>
      </c>
      <c r="G81" s="113">
        <f aca="true" t="shared" si="39" ref="G81:P81">SUM(G77:G80)</f>
        <v>7659.169230024932</v>
      </c>
      <c r="H81" s="113">
        <f t="shared" si="39"/>
        <v>7173.892566484662</v>
      </c>
      <c r="I81" s="113">
        <f t="shared" si="39"/>
        <v>174400.17307533696</v>
      </c>
      <c r="J81" s="113">
        <f t="shared" si="39"/>
        <v>78708.59436786134</v>
      </c>
      <c r="K81" s="112">
        <f t="shared" si="39"/>
        <v>11833.8996695641</v>
      </c>
      <c r="L81" s="112">
        <f t="shared" si="39"/>
        <v>18073.592222606985</v>
      </c>
      <c r="M81" s="112">
        <f t="shared" si="39"/>
        <v>26680.064709562695</v>
      </c>
      <c r="N81" s="112">
        <f t="shared" si="39"/>
        <v>179.36</v>
      </c>
      <c r="O81" s="112">
        <f t="shared" si="39"/>
        <v>1108</v>
      </c>
      <c r="P81" s="112">
        <f t="shared" si="39"/>
        <v>2290.714285714286</v>
      </c>
      <c r="Q81" s="112"/>
      <c r="R81" s="112">
        <f>SUM(R77:R80)</f>
        <v>60180.833454466</v>
      </c>
      <c r="S81" s="112">
        <f>SUM(S77:S80)</f>
        <v>313274.39833064633</v>
      </c>
      <c r="U81" s="32">
        <v>107732.004279166</v>
      </c>
      <c r="V81" s="32">
        <v>71086.7378957833</v>
      </c>
      <c r="W81" s="32">
        <v>178818.74217495</v>
      </c>
      <c r="X81" s="32">
        <v>18255.1807853847</v>
      </c>
      <c r="Y81" s="32">
        <v>89888.024043624</v>
      </c>
      <c r="Z81" s="32">
        <v>286961.947003958</v>
      </c>
      <c r="AG81" s="35"/>
      <c r="AH81" s="35"/>
    </row>
    <row r="82" spans="1:26" ht="14.25">
      <c r="A82" s="3"/>
      <c r="B82" s="3"/>
      <c r="C82" s="101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U82" s="31"/>
      <c r="V82" s="31"/>
      <c r="W82" s="31"/>
      <c r="X82" s="31"/>
      <c r="Y82" s="31"/>
      <c r="Z82" s="31"/>
    </row>
    <row r="83" spans="1:26" ht="14.25">
      <c r="A83" s="3"/>
      <c r="B83" s="3"/>
      <c r="C83" s="101" t="s">
        <v>108</v>
      </c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U83" s="10"/>
      <c r="V83" s="10"/>
      <c r="W83" s="10"/>
      <c r="X83" s="10"/>
      <c r="Y83" s="10"/>
      <c r="Z83" s="10"/>
    </row>
    <row r="84" spans="1:34" ht="14.25">
      <c r="A84" s="3"/>
      <c r="B84" s="3">
        <v>51</v>
      </c>
      <c r="C84" s="117" t="s">
        <v>109</v>
      </c>
      <c r="D84" s="113">
        <f aca="true" t="shared" si="40" ref="D84:E86">U84*$E$279/100</f>
        <v>0</v>
      </c>
      <c r="E84" s="113">
        <f t="shared" si="40"/>
        <v>4105.756016530361</v>
      </c>
      <c r="F84" s="113">
        <f aca="true" t="shared" si="41" ref="F84:F90">D84+E84</f>
        <v>4105.756016530361</v>
      </c>
      <c r="G84" s="113">
        <f aca="true" t="shared" si="42" ref="G84:G89">E84*$G$279/100</f>
        <v>496.9880192021386</v>
      </c>
      <c r="H84" s="113">
        <f aca="true" t="shared" si="43" ref="H84:H89">E84*$H$279/100</f>
        <v>465.49939680266766</v>
      </c>
      <c r="I84" s="113">
        <f aca="true" t="shared" si="44" ref="I84:I89">F84+G84+H84</f>
        <v>5068.243432535167</v>
      </c>
      <c r="J84" s="113">
        <f aca="true" t="shared" si="45" ref="J84:J89">X84*$J$279/100</f>
        <v>69139.89538173113</v>
      </c>
      <c r="K84" s="113">
        <f>R84*$K$279/100-200</f>
        <v>24418.803446382997</v>
      </c>
      <c r="L84" s="113">
        <f>R84*$L$279/100-400</f>
        <v>37199.62708174858</v>
      </c>
      <c r="M84" s="113">
        <f>R84*$M$279/100-2000</f>
        <v>53504.21140639076</v>
      </c>
      <c r="N84" s="113">
        <v>44.84</v>
      </c>
      <c r="O84" s="112">
        <v>274</v>
      </c>
      <c r="P84" s="116">
        <v>572</v>
      </c>
      <c r="Q84" s="116"/>
      <c r="R84" s="113">
        <f>Y84*$R$279/100</f>
        <v>125197.96106312459</v>
      </c>
      <c r="S84" s="112">
        <f aca="true" t="shared" si="46" ref="S84:S89">I84+J84+K84+L84+M84+N84+O84+P84</f>
        <v>190221.6207487886</v>
      </c>
      <c r="U84" s="31">
        <v>0</v>
      </c>
      <c r="V84" s="31">
        <v>4612.6748211636</v>
      </c>
      <c r="W84" s="31">
        <v>4612.6748211636</v>
      </c>
      <c r="X84" s="31">
        <v>16035.8763844404</v>
      </c>
      <c r="Y84" s="31">
        <v>186999.692232074</v>
      </c>
      <c r="Z84" s="31">
        <v>207649.243437678</v>
      </c>
      <c r="AG84" s="13">
        <v>24418.803446382997</v>
      </c>
      <c r="AH84" s="13">
        <v>277.14</v>
      </c>
    </row>
    <row r="85" spans="1:34" ht="14.25">
      <c r="A85" s="3"/>
      <c r="B85" s="3">
        <v>52</v>
      </c>
      <c r="C85" s="101" t="s">
        <v>110</v>
      </c>
      <c r="D85" s="113">
        <f t="shared" si="40"/>
        <v>0</v>
      </c>
      <c r="E85" s="113">
        <f t="shared" si="40"/>
        <v>2331.3008135886294</v>
      </c>
      <c r="F85" s="113">
        <f t="shared" si="41"/>
        <v>2331.3008135886294</v>
      </c>
      <c r="G85" s="113">
        <f t="shared" si="42"/>
        <v>282.1961579901345</v>
      </c>
      <c r="H85" s="113">
        <f t="shared" si="43"/>
        <v>264.3165151854684</v>
      </c>
      <c r="I85" s="113">
        <f t="shared" si="44"/>
        <v>2877.813486764232</v>
      </c>
      <c r="J85" s="113">
        <f t="shared" si="45"/>
        <v>31342.430145343777</v>
      </c>
      <c r="K85" s="113">
        <f>R85*$K$279/100</f>
        <v>10807.201949719225</v>
      </c>
      <c r="L85" s="113">
        <f>R85*$L$279/100-506</f>
        <v>15999.544795934813</v>
      </c>
      <c r="M85" s="113">
        <f>R85*$M$279/100</f>
        <v>24365.32803209425</v>
      </c>
      <c r="N85" s="113">
        <v>44.84</v>
      </c>
      <c r="O85" s="112">
        <v>274</v>
      </c>
      <c r="P85" s="116">
        <v>572</v>
      </c>
      <c r="Q85" s="116"/>
      <c r="R85" s="113">
        <f>Y85*$R$279/100</f>
        <v>54959.602396966235</v>
      </c>
      <c r="S85" s="112">
        <f t="shared" si="46"/>
        <v>86283.15840985629</v>
      </c>
      <c r="U85" s="31">
        <v>0</v>
      </c>
      <c r="V85" s="31">
        <v>2619.13579864542</v>
      </c>
      <c r="W85" s="31">
        <v>2619.13579864542</v>
      </c>
      <c r="X85" s="31">
        <v>7269.36788989551</v>
      </c>
      <c r="Y85" s="31">
        <v>82089.4257874374</v>
      </c>
      <c r="Z85" s="31">
        <v>91976.9294759783</v>
      </c>
      <c r="AG85" s="13">
        <v>10807.201949719225</v>
      </c>
      <c r="AH85" s="13">
        <v>277.14</v>
      </c>
    </row>
    <row r="86" spans="1:34" ht="14.25">
      <c r="A86" s="3"/>
      <c r="B86" s="3">
        <v>53</v>
      </c>
      <c r="C86" s="117" t="s">
        <v>111</v>
      </c>
      <c r="D86" s="113">
        <f t="shared" si="40"/>
        <v>0</v>
      </c>
      <c r="E86" s="113">
        <f t="shared" si="40"/>
        <v>725.467873025899</v>
      </c>
      <c r="F86" s="113">
        <f t="shared" si="41"/>
        <v>725.467873025899</v>
      </c>
      <c r="G86" s="113">
        <f t="shared" si="42"/>
        <v>87.81545707010083</v>
      </c>
      <c r="H86" s="113">
        <f t="shared" si="43"/>
        <v>82.25156486007018</v>
      </c>
      <c r="I86" s="113">
        <f t="shared" si="44"/>
        <v>895.53489495607</v>
      </c>
      <c r="J86" s="113">
        <f t="shared" si="45"/>
        <v>2740.493813115499</v>
      </c>
      <c r="K86" s="113">
        <f>R86*$K$279/100</f>
        <v>335.2719107742004</v>
      </c>
      <c r="L86" s="113">
        <f>R86*$L$279/100</f>
        <v>512.0516455460515</v>
      </c>
      <c r="M86" s="113">
        <f>R86*$M$279/100</f>
        <v>755.8857624727428</v>
      </c>
      <c r="N86" s="113">
        <v>44.84</v>
      </c>
      <c r="O86" s="112">
        <v>274</v>
      </c>
      <c r="P86" s="116">
        <v>572</v>
      </c>
      <c r="Q86" s="116"/>
      <c r="R86" s="113">
        <f>Y86*$R$279/100</f>
        <v>1705.0121758389016</v>
      </c>
      <c r="S86" s="112">
        <f t="shared" si="46"/>
        <v>6130.078026864563</v>
      </c>
      <c r="U86" s="31">
        <v>0</v>
      </c>
      <c r="V86" s="31">
        <v>815.03805340522</v>
      </c>
      <c r="W86" s="31">
        <v>815.03805340522</v>
      </c>
      <c r="X86" s="31">
        <v>635.613053459375</v>
      </c>
      <c r="Y86" s="31">
        <v>2546.66089947788</v>
      </c>
      <c r="Z86" s="31">
        <v>3998.31200634248</v>
      </c>
      <c r="AG86" s="13">
        <v>335.2719107742004</v>
      </c>
      <c r="AH86" s="13">
        <v>277.14</v>
      </c>
    </row>
    <row r="87" spans="1:34" ht="14.25">
      <c r="A87" s="3"/>
      <c r="B87" s="3">
        <v>54</v>
      </c>
      <c r="C87" s="117" t="s">
        <v>112</v>
      </c>
      <c r="D87" s="113">
        <v>200</v>
      </c>
      <c r="E87" s="113">
        <f>V87*$E$279/100</f>
        <v>0</v>
      </c>
      <c r="F87" s="113">
        <f t="shared" si="41"/>
        <v>200</v>
      </c>
      <c r="G87" s="113">
        <f t="shared" si="42"/>
        <v>0</v>
      </c>
      <c r="H87" s="113">
        <f t="shared" si="43"/>
        <v>0</v>
      </c>
      <c r="I87" s="113">
        <f t="shared" si="44"/>
        <v>200</v>
      </c>
      <c r="J87" s="113">
        <f t="shared" si="45"/>
        <v>0</v>
      </c>
      <c r="K87" s="113">
        <f>R87*$K$279/100</f>
        <v>112.43044249034858</v>
      </c>
      <c r="L87" s="113">
        <f>R87*$L$279/100</f>
        <v>171.71194853071418</v>
      </c>
      <c r="M87" s="113">
        <f>R87*$M$279/100</f>
        <v>253.4795430691495</v>
      </c>
      <c r="N87" s="113">
        <v>44.84</v>
      </c>
      <c r="O87" s="112">
        <v>274</v>
      </c>
      <c r="P87" s="116">
        <v>572</v>
      </c>
      <c r="Q87" s="116"/>
      <c r="R87" s="113">
        <f>Y87*$R$279/100</f>
        <v>571.760613462495</v>
      </c>
      <c r="S87" s="112">
        <f t="shared" si="46"/>
        <v>1628.4619340902123</v>
      </c>
      <c r="U87" s="31">
        <v>0</v>
      </c>
      <c r="V87" s="31">
        <v>0</v>
      </c>
      <c r="W87" s="31">
        <v>0</v>
      </c>
      <c r="X87" s="31">
        <v>0</v>
      </c>
      <c r="Y87" s="31">
        <v>854</v>
      </c>
      <c r="Z87" s="31">
        <v>854</v>
      </c>
      <c r="AG87" s="13">
        <v>112.43044249034858</v>
      </c>
      <c r="AH87" s="13">
        <v>277.14</v>
      </c>
    </row>
    <row r="88" spans="1:34" ht="14.25">
      <c r="A88" s="3"/>
      <c r="B88" s="3">
        <v>55</v>
      </c>
      <c r="C88" s="117" t="s">
        <v>73</v>
      </c>
      <c r="D88" s="113">
        <f>U88*$E$279/100</f>
        <v>0</v>
      </c>
      <c r="E88" s="113">
        <f>V88*$E$279/100</f>
        <v>0</v>
      </c>
      <c r="F88" s="113">
        <f t="shared" si="41"/>
        <v>0</v>
      </c>
      <c r="G88" s="113">
        <f t="shared" si="42"/>
        <v>0</v>
      </c>
      <c r="H88" s="113">
        <f t="shared" si="43"/>
        <v>0</v>
      </c>
      <c r="I88" s="113">
        <f t="shared" si="44"/>
        <v>0</v>
      </c>
      <c r="J88" s="113">
        <f t="shared" si="45"/>
        <v>0</v>
      </c>
      <c r="K88" s="113">
        <f>R88*$K$279/100</f>
        <v>40.082035257198456</v>
      </c>
      <c r="L88" s="113">
        <f>R88*$L$279/100</f>
        <v>61.216199301903096</v>
      </c>
      <c r="M88" s="113">
        <f>R88*$M$279/100</f>
        <v>90.36677039804744</v>
      </c>
      <c r="N88" s="113">
        <v>44.84</v>
      </c>
      <c r="O88" s="112">
        <v>274</v>
      </c>
      <c r="P88" s="116">
        <v>572</v>
      </c>
      <c r="Q88" s="116"/>
      <c r="R88" s="113">
        <f>Y88*$R$279/100+7</f>
        <v>203.83562102807207</v>
      </c>
      <c r="S88" s="112">
        <f t="shared" si="46"/>
        <v>1082.5050049571491</v>
      </c>
      <c r="U88" s="31">
        <v>0</v>
      </c>
      <c r="V88" s="31">
        <v>0</v>
      </c>
      <c r="W88" s="31">
        <v>0</v>
      </c>
      <c r="X88" s="31">
        <v>0</v>
      </c>
      <c r="Y88" s="31">
        <v>294</v>
      </c>
      <c r="Z88" s="31">
        <v>294</v>
      </c>
      <c r="AG88" s="13">
        <v>38.70556216880853</v>
      </c>
      <c r="AH88" s="13">
        <v>277.14</v>
      </c>
    </row>
    <row r="89" spans="1:34" ht="14.25">
      <c r="A89" s="3"/>
      <c r="B89" s="3">
        <v>56</v>
      </c>
      <c r="C89" s="117" t="s">
        <v>113</v>
      </c>
      <c r="D89" s="113">
        <f>U89*$E$279/100</f>
        <v>0</v>
      </c>
      <c r="E89" s="113">
        <f>V89*$E$279/100</f>
        <v>0</v>
      </c>
      <c r="F89" s="113">
        <f t="shared" si="41"/>
        <v>0</v>
      </c>
      <c r="G89" s="113">
        <f t="shared" si="42"/>
        <v>0</v>
      </c>
      <c r="H89" s="113">
        <f t="shared" si="43"/>
        <v>0</v>
      </c>
      <c r="I89" s="113">
        <f t="shared" si="44"/>
        <v>0</v>
      </c>
      <c r="J89" s="113">
        <f t="shared" si="45"/>
        <v>522.8832764606358</v>
      </c>
      <c r="K89" s="113">
        <f>R89*$K$279/100</f>
        <v>460.83163548019115</v>
      </c>
      <c r="L89" s="113">
        <f>R89*$L$279/100</f>
        <v>703.8155887333829</v>
      </c>
      <c r="M89" s="113">
        <f>R89*$M$279/100</f>
        <v>1038.9658690826127</v>
      </c>
      <c r="N89" s="113">
        <v>44.84</v>
      </c>
      <c r="O89" s="112">
        <v>274</v>
      </c>
      <c r="P89" s="116">
        <v>572</v>
      </c>
      <c r="Q89" s="116"/>
      <c r="R89" s="113">
        <f>Y89*$R$279/100</f>
        <v>2343.5412399777533</v>
      </c>
      <c r="S89" s="112">
        <f t="shared" si="46"/>
        <v>3617.336369756823</v>
      </c>
      <c r="U89" s="31">
        <v>0</v>
      </c>
      <c r="V89" s="31">
        <v>0</v>
      </c>
      <c r="W89" s="31">
        <v>0</v>
      </c>
      <c r="X89" s="31">
        <v>121.274288</v>
      </c>
      <c r="Y89" s="31">
        <v>3500.3884</v>
      </c>
      <c r="Z89" s="31">
        <v>3620.662688</v>
      </c>
      <c r="AG89" s="13">
        <v>460.83163548019115</v>
      </c>
      <c r="AH89" s="13">
        <v>277.14</v>
      </c>
    </row>
    <row r="90" spans="1:26" ht="14.25">
      <c r="A90" s="3">
        <v>6</v>
      </c>
      <c r="B90" s="3"/>
      <c r="C90" s="101" t="s">
        <v>17</v>
      </c>
      <c r="D90" s="112">
        <f>SUM(D84:D89)</f>
        <v>200</v>
      </c>
      <c r="E90" s="112">
        <f>SUM(E84:E89)</f>
        <v>7162.52470314489</v>
      </c>
      <c r="F90" s="113">
        <f t="shared" si="41"/>
        <v>7362.52470314489</v>
      </c>
      <c r="G90" s="112">
        <f aca="true" t="shared" si="47" ref="G90:P90">SUM(G84:G89)</f>
        <v>866.999634262374</v>
      </c>
      <c r="H90" s="112">
        <f t="shared" si="47"/>
        <v>812.0674768482063</v>
      </c>
      <c r="I90" s="113">
        <f t="shared" si="47"/>
        <v>9041.59181425547</v>
      </c>
      <c r="J90" s="112">
        <f t="shared" si="47"/>
        <v>103745.70261665103</v>
      </c>
      <c r="K90" s="112">
        <f t="shared" si="47"/>
        <v>36174.62142010416</v>
      </c>
      <c r="L90" s="112">
        <f t="shared" si="47"/>
        <v>54647.96725979545</v>
      </c>
      <c r="M90" s="112">
        <f t="shared" si="47"/>
        <v>80008.23738350756</v>
      </c>
      <c r="N90" s="112">
        <f t="shared" si="47"/>
        <v>269.04</v>
      </c>
      <c r="O90" s="112">
        <f t="shared" si="47"/>
        <v>1644</v>
      </c>
      <c r="P90" s="112">
        <f t="shared" si="47"/>
        <v>3432</v>
      </c>
      <c r="Q90" s="112"/>
      <c r="R90" s="112">
        <f>SUM(R84:R89)</f>
        <v>184981.71311039804</v>
      </c>
      <c r="S90" s="112">
        <f>SUM(S84:S89)</f>
        <v>288963.16049431363</v>
      </c>
      <c r="U90" s="10">
        <v>0</v>
      </c>
      <c r="V90" s="10">
        <v>8046.84867321423</v>
      </c>
      <c r="W90" s="10">
        <v>8046.84867321423</v>
      </c>
      <c r="X90" s="10">
        <v>24062.1316157953</v>
      </c>
      <c r="Y90" s="10">
        <v>276284.167318989</v>
      </c>
      <c r="Z90" s="10">
        <v>308393.147607999</v>
      </c>
    </row>
    <row r="91" spans="1:26" ht="14.25">
      <c r="A91" s="3"/>
      <c r="B91" s="3"/>
      <c r="C91" s="101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U91" s="10"/>
      <c r="V91" s="10"/>
      <c r="W91" s="10"/>
      <c r="X91" s="10"/>
      <c r="Y91" s="10"/>
      <c r="Z91" s="10"/>
    </row>
    <row r="92" spans="1:26" ht="14.25">
      <c r="A92" s="3"/>
      <c r="B92" s="3"/>
      <c r="C92" s="117" t="s">
        <v>114</v>
      </c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U92" s="10"/>
      <c r="V92" s="10"/>
      <c r="W92" s="10"/>
      <c r="X92" s="10"/>
      <c r="Y92" s="10"/>
      <c r="Z92" s="10"/>
    </row>
    <row r="93" spans="1:34" ht="14.25">
      <c r="A93" s="3"/>
      <c r="B93" s="3">
        <v>57</v>
      </c>
      <c r="C93" s="117" t="s">
        <v>115</v>
      </c>
      <c r="D93" s="113">
        <f>U93*$E$279/100+100</f>
        <v>526.6210622849617</v>
      </c>
      <c r="E93" s="113">
        <f>V93*$E$279/100</f>
        <v>599.9815382322305</v>
      </c>
      <c r="F93" s="113">
        <f>D93+E93</f>
        <v>1126.602600517192</v>
      </c>
      <c r="G93" s="113">
        <f>E93*$G$279/100</f>
        <v>72.62575638770508</v>
      </c>
      <c r="H93" s="113">
        <f>E93*$H$279/100</f>
        <v>68.02426715454457</v>
      </c>
      <c r="I93" s="113">
        <f>F93+G93+H93</f>
        <v>1267.2526240594416</v>
      </c>
      <c r="J93" s="113">
        <f>X93*$J$279/100</f>
        <v>7979.673161718698</v>
      </c>
      <c r="K93" s="113">
        <f>R93*$K$279/100</f>
        <v>2871.2732843119256</v>
      </c>
      <c r="L93" s="113">
        <f>R93*$L$279/100</f>
        <v>4385.2173796763955</v>
      </c>
      <c r="M93" s="113">
        <f>R93*$M$279/100</f>
        <v>6473.416131903251</v>
      </c>
      <c r="N93" s="113">
        <v>44.84</v>
      </c>
      <c r="O93" s="122">
        <v>277.14</v>
      </c>
      <c r="P93" s="113">
        <v>572.6785714285714</v>
      </c>
      <c r="Q93" s="113"/>
      <c r="R93" s="113">
        <f>Y93*$R$279/100</f>
        <v>14601.747872668802</v>
      </c>
      <c r="S93" s="112">
        <f>I93+J93+K93+L93+M93+N93+O93+P93</f>
        <v>23871.491153098283</v>
      </c>
      <c r="U93" s="31">
        <v>479.294001946781</v>
      </c>
      <c r="V93" s="31">
        <v>674.058498221615</v>
      </c>
      <c r="W93" s="31">
        <v>1153.3525001684</v>
      </c>
      <c r="X93" s="31">
        <v>1850.75565566113</v>
      </c>
      <c r="Y93" s="31">
        <v>21809.6391910303</v>
      </c>
      <c r="Z93" s="31">
        <v>24813.7473468598</v>
      </c>
      <c r="AG93" s="13">
        <v>2871.2732843119256</v>
      </c>
      <c r="AH93" s="13">
        <v>277.14</v>
      </c>
    </row>
    <row r="94" spans="1:34" ht="14.25">
      <c r="A94" s="3"/>
      <c r="B94" s="3">
        <v>58</v>
      </c>
      <c r="C94" s="117" t="s">
        <v>116</v>
      </c>
      <c r="D94" s="113">
        <f>U94*$E$279/100</f>
        <v>0</v>
      </c>
      <c r="E94" s="113">
        <f>V94*$E$279/100</f>
        <v>0</v>
      </c>
      <c r="F94" s="113">
        <f>D94+E94</f>
        <v>0</v>
      </c>
      <c r="G94" s="113">
        <f>E94*$G$279/100</f>
        <v>0</v>
      </c>
      <c r="H94" s="113">
        <f>E94*$H$279/100</f>
        <v>0</v>
      </c>
      <c r="I94" s="113">
        <f>F94+G94+H94</f>
        <v>0</v>
      </c>
      <c r="J94" s="113">
        <f>X94*$J$279/100</f>
        <v>53180.54905829399</v>
      </c>
      <c r="K94" s="113">
        <f>R94*$K$279/100</f>
        <v>27279.609773535412</v>
      </c>
      <c r="L94" s="113">
        <f>R94*$L$279/100</f>
        <v>41663.40401776317</v>
      </c>
      <c r="M94" s="113">
        <f>R94*$M$279/100</f>
        <v>61503.120216698015</v>
      </c>
      <c r="N94" s="113">
        <v>44.84</v>
      </c>
      <c r="O94" s="122">
        <v>277.14</v>
      </c>
      <c r="P94" s="113">
        <v>572.6785714285714</v>
      </c>
      <c r="Q94" s="113"/>
      <c r="R94" s="113">
        <f>Y94*$R$279/100</f>
        <v>138729.38746525894</v>
      </c>
      <c r="S94" s="112">
        <f>I94+J94+K94+L94+M94+N94+O94+P94</f>
        <v>184521.3416377192</v>
      </c>
      <c r="U94" s="31">
        <v>0</v>
      </c>
      <c r="V94" s="31">
        <v>0</v>
      </c>
      <c r="W94" s="31">
        <v>0</v>
      </c>
      <c r="X94" s="31">
        <v>12334.3650731182</v>
      </c>
      <c r="Y94" s="31">
        <v>207210.664928221</v>
      </c>
      <c r="Z94" s="31">
        <v>219545.030001339</v>
      </c>
      <c r="AG94" s="13">
        <v>27279.609773535412</v>
      </c>
      <c r="AH94" s="13">
        <v>277.14</v>
      </c>
    </row>
    <row r="95" spans="1:34" ht="14.25">
      <c r="A95" s="3"/>
      <c r="B95" s="3">
        <v>59</v>
      </c>
      <c r="C95" s="117" t="s">
        <v>117</v>
      </c>
      <c r="D95" s="113">
        <f>U95*$E$279/100</f>
        <v>0</v>
      </c>
      <c r="E95" s="113">
        <f>V95*$E$279/100</f>
        <v>1543.0897731658981</v>
      </c>
      <c r="F95" s="113">
        <f>D95+E95</f>
        <v>1543.0897731658981</v>
      </c>
      <c r="G95" s="113">
        <f>E95*$G$279/100</f>
        <v>186.78585057883603</v>
      </c>
      <c r="H95" s="113">
        <f>E95*$H$279/100</f>
        <v>174.9513014726357</v>
      </c>
      <c r="I95" s="113">
        <f>F95+G95+H95</f>
        <v>1904.82692521737</v>
      </c>
      <c r="J95" s="113">
        <f>X95*$J$279/100</f>
        <v>1600.540504298552</v>
      </c>
      <c r="K95" s="113">
        <f>R95*$K$279/100</f>
        <v>4953.2847809766145</v>
      </c>
      <c r="L95" s="113">
        <f>R95*$L$279/100</f>
        <v>7565.016756400648</v>
      </c>
      <c r="M95" s="113">
        <f>R95*$M$279/100</f>
        <v>11167.405688020002</v>
      </c>
      <c r="N95" s="113">
        <v>44.84</v>
      </c>
      <c r="O95" s="122">
        <v>277.14</v>
      </c>
      <c r="P95" s="113">
        <v>572.6785714285714</v>
      </c>
      <c r="Q95" s="113"/>
      <c r="R95" s="113">
        <f>Y95*$R$279/100</f>
        <v>25189.73582505242</v>
      </c>
      <c r="S95" s="112">
        <f>I95+J95+K95+L95+M95+N95+O95+P95</f>
        <v>28085.73322634176</v>
      </c>
      <c r="U95" s="31">
        <v>0</v>
      </c>
      <c r="V95" s="31">
        <v>1733.6079676484</v>
      </c>
      <c r="W95" s="31">
        <v>1733.6079676484</v>
      </c>
      <c r="X95" s="31">
        <v>371.21938836493</v>
      </c>
      <c r="Y95" s="31">
        <v>37624.1977640278</v>
      </c>
      <c r="Z95" s="31">
        <v>39729.0251200411</v>
      </c>
      <c r="AG95" s="13">
        <v>4953.2847809766145</v>
      </c>
      <c r="AH95" s="13">
        <v>277.14</v>
      </c>
    </row>
    <row r="96" spans="1:26" ht="14.25">
      <c r="A96" s="3">
        <v>3</v>
      </c>
      <c r="B96" s="3"/>
      <c r="C96" s="101" t="s">
        <v>78</v>
      </c>
      <c r="D96" s="113">
        <f>SUM(D93:D95)</f>
        <v>526.6210622849617</v>
      </c>
      <c r="E96" s="113">
        <f>SUM(E93:E95)</f>
        <v>2143.0713113981287</v>
      </c>
      <c r="F96" s="113">
        <f>D96+E96</f>
        <v>2669.6923736830904</v>
      </c>
      <c r="G96" s="113">
        <f aca="true" t="shared" si="48" ref="G96:P96">SUM(G93:G95)</f>
        <v>259.4116069665411</v>
      </c>
      <c r="H96" s="113">
        <f t="shared" si="48"/>
        <v>242.97556862718028</v>
      </c>
      <c r="I96" s="113">
        <f t="shared" si="48"/>
        <v>3172.0795492768116</v>
      </c>
      <c r="J96" s="113">
        <f t="shared" si="48"/>
        <v>62760.76272431124</v>
      </c>
      <c r="K96" s="112">
        <f t="shared" si="48"/>
        <v>35104.16783882395</v>
      </c>
      <c r="L96" s="112">
        <f t="shared" si="48"/>
        <v>53613.63815384021</v>
      </c>
      <c r="M96" s="112">
        <f t="shared" si="48"/>
        <v>79143.94203662127</v>
      </c>
      <c r="N96" s="112">
        <f t="shared" si="48"/>
        <v>134.52</v>
      </c>
      <c r="O96" s="112">
        <f t="shared" si="48"/>
        <v>831.42</v>
      </c>
      <c r="P96" s="112">
        <f t="shared" si="48"/>
        <v>1718.0357142857142</v>
      </c>
      <c r="Q96" s="112"/>
      <c r="R96" s="112">
        <f>SUM(R93:R95)</f>
        <v>178520.87116298018</v>
      </c>
      <c r="S96" s="112">
        <f>SUM(S93:S95)</f>
        <v>236478.56601715923</v>
      </c>
      <c r="U96" s="31">
        <v>479.294001946781</v>
      </c>
      <c r="V96" s="31">
        <v>2407.66646587001</v>
      </c>
      <c r="W96" s="31">
        <v>2886.96046781679</v>
      </c>
      <c r="X96" s="31">
        <v>14556.3401171442</v>
      </c>
      <c r="Y96" s="31">
        <v>266644.501883279</v>
      </c>
      <c r="Z96" s="31">
        <v>284087.80246824</v>
      </c>
    </row>
    <row r="97" spans="1:26" ht="14.25">
      <c r="A97" s="3"/>
      <c r="B97" s="3"/>
      <c r="C97" s="101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U97" s="10"/>
      <c r="V97" s="10"/>
      <c r="W97" s="10"/>
      <c r="X97" s="10"/>
      <c r="Y97" s="10"/>
      <c r="Z97" s="10"/>
    </row>
    <row r="98" spans="1:34" s="12" customFormat="1" ht="14.25">
      <c r="A98" s="36"/>
      <c r="B98" s="36"/>
      <c r="C98" s="101" t="s">
        <v>118</v>
      </c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U98" s="30"/>
      <c r="V98" s="30"/>
      <c r="W98" s="30"/>
      <c r="X98" s="30"/>
      <c r="Y98" s="30"/>
      <c r="Z98" s="30"/>
      <c r="AG98" s="37"/>
      <c r="AH98" s="37"/>
    </row>
    <row r="99" spans="1:34" s="12" customFormat="1" ht="14.25">
      <c r="A99" s="36"/>
      <c r="B99" s="36"/>
      <c r="C99" s="117" t="s">
        <v>71</v>
      </c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>
        <f>Y99*149.36/100</f>
        <v>0</v>
      </c>
      <c r="S99" s="113"/>
      <c r="U99" s="29">
        <v>0</v>
      </c>
      <c r="V99" s="29">
        <v>0</v>
      </c>
      <c r="W99" s="29">
        <v>0</v>
      </c>
      <c r="X99" s="29">
        <v>0</v>
      </c>
      <c r="Y99" s="29">
        <v>0</v>
      </c>
      <c r="Z99" s="29">
        <v>0</v>
      </c>
      <c r="AG99" s="37"/>
      <c r="AH99" s="37"/>
    </row>
    <row r="100" spans="1:26" ht="14.25">
      <c r="A100" s="3"/>
      <c r="B100" s="3"/>
      <c r="C100" s="101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U100" s="10"/>
      <c r="V100" s="10"/>
      <c r="W100" s="10"/>
      <c r="X100" s="10"/>
      <c r="Y100" s="10"/>
      <c r="Z100" s="10"/>
    </row>
    <row r="101" spans="1:26" ht="14.25">
      <c r="A101" s="3"/>
      <c r="B101" s="3"/>
      <c r="C101" s="101" t="s">
        <v>119</v>
      </c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U101" s="10"/>
      <c r="V101" s="10"/>
      <c r="W101" s="10"/>
      <c r="X101" s="10"/>
      <c r="Y101" s="10"/>
      <c r="Z101" s="10"/>
    </row>
    <row r="102" spans="1:34" ht="14.25">
      <c r="A102" s="3">
        <v>1</v>
      </c>
      <c r="B102" s="3">
        <v>60</v>
      </c>
      <c r="C102" s="117" t="s">
        <v>71</v>
      </c>
      <c r="D102" s="113">
        <v>200</v>
      </c>
      <c r="E102" s="113">
        <f>V102*$E$279/100</f>
        <v>3144.833234066199</v>
      </c>
      <c r="F102" s="113">
        <f>D102+E102</f>
        <v>3344.833234066199</v>
      </c>
      <c r="G102" s="113">
        <f>E102*$G$279/100</f>
        <v>380.6715336778362</v>
      </c>
      <c r="H102" s="113">
        <f>E102*$H$279/100</f>
        <v>356.5525977697787</v>
      </c>
      <c r="I102" s="113">
        <f>F102+G102+H102</f>
        <v>4082.057365513814</v>
      </c>
      <c r="J102" s="113">
        <f>X102*$J$279/100</f>
        <v>20922.17335475157</v>
      </c>
      <c r="K102" s="113">
        <f>R102*$K$279/100</f>
        <v>2770.2167737873983</v>
      </c>
      <c r="L102" s="113">
        <f>R102*$L$279/100</f>
        <v>4230.876527238935</v>
      </c>
      <c r="M102" s="113">
        <f>R102*$M$279/100</f>
        <v>6245.579635447952</v>
      </c>
      <c r="N102" s="113">
        <v>44.84</v>
      </c>
      <c r="O102" s="122">
        <v>277.14</v>
      </c>
      <c r="P102" s="113">
        <v>572.6785714285714</v>
      </c>
      <c r="Q102" s="113"/>
      <c r="R102" s="113">
        <f>Y102*$R$279/100</f>
        <v>14087.82894491182</v>
      </c>
      <c r="S102" s="112">
        <f>I102+J102+K102+L102+M102+N102+O102+P102</f>
        <v>39145.56222816824</v>
      </c>
      <c r="U102" s="31">
        <v>0</v>
      </c>
      <c r="V102" s="31">
        <v>3533.11132398809</v>
      </c>
      <c r="W102" s="31">
        <v>3533.11132398809</v>
      </c>
      <c r="X102" s="31">
        <v>4852.55847956171</v>
      </c>
      <c r="Y102" s="31">
        <v>21042.0333889331</v>
      </c>
      <c r="Z102" s="31">
        <v>29427.7031924829</v>
      </c>
      <c r="AG102" s="13">
        <v>2770.2167737873983</v>
      </c>
      <c r="AH102" s="13">
        <v>277.14</v>
      </c>
    </row>
    <row r="103" spans="1:26" ht="14.25">
      <c r="A103" s="3"/>
      <c r="B103" s="3"/>
      <c r="C103" s="101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U103" s="10"/>
      <c r="V103" s="10"/>
      <c r="W103" s="10"/>
      <c r="X103" s="10"/>
      <c r="Y103" s="10"/>
      <c r="Z103" s="10"/>
    </row>
    <row r="104" spans="1:26" ht="14.25">
      <c r="A104" s="3"/>
      <c r="B104" s="3"/>
      <c r="C104" s="101" t="s">
        <v>120</v>
      </c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U104" s="10"/>
      <c r="V104" s="10"/>
      <c r="W104" s="10"/>
      <c r="X104" s="10"/>
      <c r="Y104" s="10"/>
      <c r="Z104" s="10"/>
    </row>
    <row r="105" spans="1:34" ht="14.25">
      <c r="A105" s="3">
        <v>1</v>
      </c>
      <c r="B105" s="3">
        <v>61</v>
      </c>
      <c r="C105" s="117" t="s">
        <v>71</v>
      </c>
      <c r="D105" s="113">
        <f>U105*$E$279/100</f>
        <v>0</v>
      </c>
      <c r="E105" s="113">
        <f>V105*$E$279/100</f>
        <v>0</v>
      </c>
      <c r="F105" s="113">
        <f>D105+E105</f>
        <v>0</v>
      </c>
      <c r="G105" s="113">
        <f>E105*$G$279/100</f>
        <v>0</v>
      </c>
      <c r="H105" s="113">
        <f>E105*$H$279/100</f>
        <v>0</v>
      </c>
      <c r="I105" s="113">
        <f>F105+G105+H105</f>
        <v>0</v>
      </c>
      <c r="J105" s="113">
        <f>X105*$J$279/100</f>
        <v>53180.54905829399</v>
      </c>
      <c r="K105" s="113">
        <f>R105*$K$279/100</f>
        <v>14357.913235450196</v>
      </c>
      <c r="L105" s="113">
        <f>R105*$L$279/100</f>
        <v>21928.449305051206</v>
      </c>
      <c r="M105" s="113">
        <f>R105*$M$279/100</f>
        <v>32370.56802174226</v>
      </c>
      <c r="N105" s="113">
        <v>44.84</v>
      </c>
      <c r="O105" s="122">
        <v>277.14</v>
      </c>
      <c r="P105" s="113">
        <v>572.6785714285714</v>
      </c>
      <c r="Q105" s="113"/>
      <c r="R105" s="113">
        <f>Y105*$R$279/100</f>
        <v>73016.60562482438</v>
      </c>
      <c r="S105" s="112">
        <f>I105+J105+K105+L105+M105+N105+O105+P105</f>
        <v>122732.13819196622</v>
      </c>
      <c r="U105" s="31">
        <v>0</v>
      </c>
      <c r="V105" s="31">
        <v>0</v>
      </c>
      <c r="W105" s="31">
        <v>0</v>
      </c>
      <c r="X105" s="31">
        <v>12334.3650731182</v>
      </c>
      <c r="Y105" s="31">
        <v>109059.945255726</v>
      </c>
      <c r="Z105" s="31">
        <v>121394.310328844</v>
      </c>
      <c r="AG105" s="13">
        <v>14357.913235450196</v>
      </c>
      <c r="AH105" s="13">
        <v>277.14</v>
      </c>
    </row>
    <row r="106" spans="1:26" ht="14.25">
      <c r="A106" s="3"/>
      <c r="B106" s="3"/>
      <c r="C106" s="101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U106" s="10"/>
      <c r="V106" s="10"/>
      <c r="W106" s="10"/>
      <c r="X106" s="10"/>
      <c r="Y106" s="10"/>
      <c r="Z106" s="10"/>
    </row>
    <row r="107" spans="1:26" ht="14.25">
      <c r="A107" s="3"/>
      <c r="B107" s="3"/>
      <c r="C107" s="101" t="s">
        <v>121</v>
      </c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U107" s="10"/>
      <c r="V107" s="10"/>
      <c r="W107" s="10"/>
      <c r="X107" s="10"/>
      <c r="Y107" s="10"/>
      <c r="Z107" s="10"/>
    </row>
    <row r="108" spans="1:34" ht="14.25">
      <c r="A108" s="3"/>
      <c r="B108" s="3">
        <v>62</v>
      </c>
      <c r="C108" s="117" t="s">
        <v>122</v>
      </c>
      <c r="D108" s="113">
        <f>U108*$E$279/100+50</f>
        <v>159.82324375652507</v>
      </c>
      <c r="E108" s="113">
        <f>V108*$E$279/100</f>
        <v>1374.4675107869055</v>
      </c>
      <c r="F108" s="113">
        <f aca="true" t="shared" si="49" ref="F108:F113">D108+E108</f>
        <v>1534.2907545434305</v>
      </c>
      <c r="G108" s="113">
        <f>E108*$G$279/100</f>
        <v>166.37469028686664</v>
      </c>
      <c r="H108" s="113">
        <f>E108*$H$279/100</f>
        <v>155.8333701808356</v>
      </c>
      <c r="I108" s="113">
        <f>F108+G108+H108</f>
        <v>1856.4988150111326</v>
      </c>
      <c r="J108" s="113">
        <f>X108*$J$279/100</f>
        <v>29776.962187885263</v>
      </c>
      <c r="K108" s="113">
        <f>R108*$K$279/100</f>
        <v>12490.522166097662</v>
      </c>
      <c r="L108" s="113">
        <f>R108*$L$279/100</f>
        <v>19076.43385367643</v>
      </c>
      <c r="M108" s="113">
        <f>R108*$M$279/100</f>
        <v>28160.44997447473</v>
      </c>
      <c r="N108" s="113">
        <v>44.84</v>
      </c>
      <c r="O108" s="112">
        <v>274</v>
      </c>
      <c r="P108" s="116">
        <v>572</v>
      </c>
      <c r="Q108" s="116"/>
      <c r="R108" s="113">
        <f>Y108*$R$279/100</f>
        <v>63520.06145282182</v>
      </c>
      <c r="S108" s="112">
        <f>I108+J108+K108+L108+M108+N108+O108+P108</f>
        <v>92251.70699714521</v>
      </c>
      <c r="U108" s="31">
        <v>123.382614362538</v>
      </c>
      <c r="V108" s="31">
        <v>1544.16669037043</v>
      </c>
      <c r="W108" s="31">
        <v>1666.54930473297</v>
      </c>
      <c r="X108" s="31">
        <v>6906.28300943675</v>
      </c>
      <c r="Y108" s="31">
        <v>94875.6021374112</v>
      </c>
      <c r="Z108" s="31">
        <v>103449.434451581</v>
      </c>
      <c r="AG108" s="13">
        <v>12490.522166097662</v>
      </c>
      <c r="AH108" s="13">
        <v>277.14</v>
      </c>
    </row>
    <row r="109" spans="1:34" ht="14.25">
      <c r="A109" s="3"/>
      <c r="B109" s="3">
        <v>63</v>
      </c>
      <c r="C109" s="117" t="s">
        <v>123</v>
      </c>
      <c r="D109" s="113">
        <f>U109*$E$279/100</f>
        <v>0</v>
      </c>
      <c r="E109" s="113">
        <f>V109*$E$279/100</f>
        <v>0</v>
      </c>
      <c r="F109" s="113">
        <f t="shared" si="49"/>
        <v>0</v>
      </c>
      <c r="G109" s="113">
        <f>E109*$G$279/100</f>
        <v>0</v>
      </c>
      <c r="H109" s="113">
        <f>E109*$H$279/100</f>
        <v>0</v>
      </c>
      <c r="I109" s="113">
        <f>F109+G109+H109</f>
        <v>0</v>
      </c>
      <c r="J109" s="113">
        <f>X109*$J$279/100</f>
        <v>460587.1954815957</v>
      </c>
      <c r="K109" s="113">
        <f>R109*$K$279/100</f>
        <v>18036.241235174093</v>
      </c>
      <c r="L109" s="113">
        <f>R109*$L$279/100-246</f>
        <v>27300.259340993158</v>
      </c>
      <c r="M109" s="113">
        <f>R109*$M$279/100</f>
        <v>40663.52569384704</v>
      </c>
      <c r="N109" s="113">
        <v>44.84</v>
      </c>
      <c r="O109" s="112">
        <v>274</v>
      </c>
      <c r="P109" s="116">
        <v>572</v>
      </c>
      <c r="Q109" s="116"/>
      <c r="R109" s="113">
        <f>Y109*$R$279/100</f>
        <v>91722.59865530585</v>
      </c>
      <c r="S109" s="112">
        <f>I109+J109+K109+L109+M109+N109+O109+P109</f>
        <v>547478.06175161</v>
      </c>
      <c r="U109" s="31">
        <v>0</v>
      </c>
      <c r="V109" s="31">
        <v>0</v>
      </c>
      <c r="W109" s="31">
        <v>0</v>
      </c>
      <c r="X109" s="31">
        <v>106825.723270483</v>
      </c>
      <c r="Y109" s="31">
        <v>136999.816719221</v>
      </c>
      <c r="Z109" s="31">
        <v>243825.539989704</v>
      </c>
      <c r="AG109" s="13">
        <v>18036.241235174093</v>
      </c>
      <c r="AH109" s="13">
        <v>277.14</v>
      </c>
    </row>
    <row r="110" spans="1:34" ht="14.25">
      <c r="A110" s="3"/>
      <c r="B110" s="3">
        <v>64</v>
      </c>
      <c r="C110" s="117" t="s">
        <v>124</v>
      </c>
      <c r="D110" s="113">
        <f>U110*$E$279/100</f>
        <v>0</v>
      </c>
      <c r="E110" s="113">
        <f>V110*$E$279/100</f>
        <v>0</v>
      </c>
      <c r="F110" s="113">
        <f t="shared" si="49"/>
        <v>0</v>
      </c>
      <c r="G110" s="113">
        <f>E110*$G$279/100</f>
        <v>0</v>
      </c>
      <c r="H110" s="113">
        <f>E110*$H$279/100</f>
        <v>0</v>
      </c>
      <c r="I110" s="113">
        <f>F110+G110+H110</f>
        <v>0</v>
      </c>
      <c r="J110" s="113">
        <f>X110*$J$279/100</f>
        <v>522.8832764606358</v>
      </c>
      <c r="K110" s="113">
        <f>R110*$K$279/100</f>
        <v>499.5371976489997</v>
      </c>
      <c r="L110" s="113">
        <f>R110*$L$279/100</f>
        <v>762.9295382275632</v>
      </c>
      <c r="M110" s="113">
        <f>R110*$M$279/100</f>
        <v>1126.2293183359266</v>
      </c>
      <c r="N110" s="113">
        <v>44.84</v>
      </c>
      <c r="O110" s="112">
        <v>274</v>
      </c>
      <c r="P110" s="116">
        <v>572</v>
      </c>
      <c r="Q110" s="116"/>
      <c r="R110" s="113">
        <f>Y110*$R$279/100</f>
        <v>2540.3768610058255</v>
      </c>
      <c r="S110" s="112">
        <f>I110+J110+K110+L110+M110+N110+O110+P110</f>
        <v>3802.4193306731254</v>
      </c>
      <c r="U110" s="31">
        <v>0</v>
      </c>
      <c r="V110" s="31">
        <v>0</v>
      </c>
      <c r="W110" s="31">
        <v>0</v>
      </c>
      <c r="X110" s="31">
        <v>121.274288</v>
      </c>
      <c r="Y110" s="31">
        <v>3794.3884</v>
      </c>
      <c r="Z110" s="31">
        <v>3914.662688</v>
      </c>
      <c r="AG110" s="13">
        <v>499.5371976489997</v>
      </c>
      <c r="AH110" s="13">
        <v>277.14</v>
      </c>
    </row>
    <row r="111" spans="1:34" ht="14.25">
      <c r="A111" s="3"/>
      <c r="B111" s="3">
        <v>65</v>
      </c>
      <c r="C111" s="117" t="s">
        <v>125</v>
      </c>
      <c r="D111" s="113">
        <f>U111*$E$279/100</f>
        <v>0</v>
      </c>
      <c r="E111" s="113">
        <f>V111*$E$279/100</f>
        <v>0</v>
      </c>
      <c r="F111" s="113">
        <f t="shared" si="49"/>
        <v>0</v>
      </c>
      <c r="G111" s="113">
        <f>E111*$G$279/100</f>
        <v>0</v>
      </c>
      <c r="H111" s="113">
        <f>E111*$H$279/100</f>
        <v>0</v>
      </c>
      <c r="I111" s="113">
        <f>F111+G111+H111</f>
        <v>0</v>
      </c>
      <c r="J111" s="113">
        <f>X111*$J$279/100</f>
        <v>43.115757270876394</v>
      </c>
      <c r="K111" s="113">
        <f>R111*$K$279/100</f>
        <v>61.48128412528429</v>
      </c>
      <c r="L111" s="113">
        <f>R111*$L$279/100</f>
        <v>93.89868848225237</v>
      </c>
      <c r="M111" s="113">
        <f>R111*$M$279/100</f>
        <v>138.6123496642773</v>
      </c>
      <c r="N111" s="113">
        <v>44.84</v>
      </c>
      <c r="O111" s="112">
        <v>274</v>
      </c>
      <c r="P111" s="116">
        <v>572</v>
      </c>
      <c r="Q111" s="116"/>
      <c r="R111" s="113">
        <f>Y111*$R$279/100</f>
        <v>312.6606633337063</v>
      </c>
      <c r="S111" s="112">
        <f>I111+J111+K111+L111+M111+N111+O111+P111</f>
        <v>1227.9480795426903</v>
      </c>
      <c r="U111" s="31">
        <v>0</v>
      </c>
      <c r="V111" s="31">
        <v>0</v>
      </c>
      <c r="W111" s="31">
        <v>0</v>
      </c>
      <c r="X111" s="31">
        <v>10</v>
      </c>
      <c r="Y111" s="31">
        <v>467</v>
      </c>
      <c r="Z111" s="31">
        <v>477</v>
      </c>
      <c r="AG111" s="13">
        <v>61.48128412528429</v>
      </c>
      <c r="AH111" s="13">
        <v>277.14</v>
      </c>
    </row>
    <row r="112" spans="1:34" ht="14.25">
      <c r="A112" s="3"/>
      <c r="B112" s="3">
        <v>66</v>
      </c>
      <c r="C112" s="117" t="s">
        <v>126</v>
      </c>
      <c r="D112" s="113">
        <f>U112*$E$279/100</f>
        <v>109.82324375652507</v>
      </c>
      <c r="E112" s="113">
        <f>V112*$E$279/100</f>
        <v>1292.1171035785615</v>
      </c>
      <c r="F112" s="113">
        <f t="shared" si="49"/>
        <v>1401.9403473350865</v>
      </c>
      <c r="G112" s="113">
        <f>E112*$G$279/100</f>
        <v>156.40644921404456</v>
      </c>
      <c r="H112" s="113">
        <f>E112*$H$279/100-20</f>
        <v>126.49670606158452</v>
      </c>
      <c r="I112" s="113">
        <f>F112+G112+H112</f>
        <v>1684.8435026107156</v>
      </c>
      <c r="J112" s="113">
        <f>X112*$J$279/100</f>
        <v>90136.9141557486</v>
      </c>
      <c r="K112" s="113">
        <f>R112*$K$279/100</f>
        <v>6227.859426780272</v>
      </c>
      <c r="L112" s="113">
        <f>R112*$L$279/100</f>
        <v>9511.639851809869</v>
      </c>
      <c r="M112" s="113">
        <f>R112*$M$279/100</f>
        <v>14040.992162195524</v>
      </c>
      <c r="N112" s="113">
        <v>44.84</v>
      </c>
      <c r="O112" s="112">
        <v>274</v>
      </c>
      <c r="P112" s="116">
        <v>572</v>
      </c>
      <c r="Q112" s="116"/>
      <c r="R112" s="113">
        <f>Y112*$R$279/100</f>
        <v>31671.535284758364</v>
      </c>
      <c r="S112" s="112">
        <f>I112+J112+K112+L112+M112+N112+O112+P112</f>
        <v>122493.08909914499</v>
      </c>
      <c r="U112" s="31">
        <v>123.382614362538</v>
      </c>
      <c r="V112" s="31">
        <v>1451.64885728119</v>
      </c>
      <c r="W112" s="31">
        <v>1575.03147164373</v>
      </c>
      <c r="X112" s="31">
        <v>20905.7940440336</v>
      </c>
      <c r="Y112" s="31">
        <v>47305.6214372448</v>
      </c>
      <c r="Z112" s="31">
        <v>69787.4469529221</v>
      </c>
      <c r="AG112" s="13">
        <v>6227.859426780272</v>
      </c>
      <c r="AH112" s="13">
        <v>277.14</v>
      </c>
    </row>
    <row r="113" spans="1:26" ht="14.25">
      <c r="A113" s="3">
        <v>5</v>
      </c>
      <c r="B113" s="3"/>
      <c r="C113" s="101" t="s">
        <v>78</v>
      </c>
      <c r="D113" s="112">
        <f>SUM(D108:D112)</f>
        <v>269.64648751305015</v>
      </c>
      <c r="E113" s="112">
        <f>SUM(E108:E112)</f>
        <v>2666.584614365467</v>
      </c>
      <c r="F113" s="113">
        <f t="shared" si="49"/>
        <v>2936.231101878517</v>
      </c>
      <c r="G113" s="112">
        <f aca="true" t="shared" si="50" ref="G113:P113">SUM(G108:G112)</f>
        <v>322.7811395009112</v>
      </c>
      <c r="H113" s="112">
        <f t="shared" si="50"/>
        <v>282.3300762424201</v>
      </c>
      <c r="I113" s="113">
        <f t="shared" si="50"/>
        <v>3541.3423176218485</v>
      </c>
      <c r="J113" s="112">
        <f t="shared" si="50"/>
        <v>581067.0708589611</v>
      </c>
      <c r="K113" s="112">
        <f t="shared" si="50"/>
        <v>37315.641309826315</v>
      </c>
      <c r="L113" s="112">
        <f t="shared" si="50"/>
        <v>56745.16127318927</v>
      </c>
      <c r="M113" s="112">
        <f t="shared" si="50"/>
        <v>84129.8094985175</v>
      </c>
      <c r="N113" s="112">
        <f t="shared" si="50"/>
        <v>224.20000000000002</v>
      </c>
      <c r="O113" s="112">
        <f t="shared" si="50"/>
        <v>1370</v>
      </c>
      <c r="P113" s="112">
        <f t="shared" si="50"/>
        <v>2860</v>
      </c>
      <c r="Q113" s="112"/>
      <c r="R113" s="112">
        <f>SUM(R108:R112)</f>
        <v>189767.23291722557</v>
      </c>
      <c r="S113" s="112">
        <f>SUM(S108:S112)</f>
        <v>767253.2252581161</v>
      </c>
      <c r="U113" s="10">
        <v>245.765228725075</v>
      </c>
      <c r="V113" s="10">
        <v>2995.81554765162</v>
      </c>
      <c r="W113" s="10">
        <v>3241.5807763767</v>
      </c>
      <c r="X113" s="10">
        <v>134769.074611954</v>
      </c>
      <c r="Y113" s="10">
        <v>283443.428693877</v>
      </c>
      <c r="Z113" s="10">
        <v>421454.084082207</v>
      </c>
    </row>
    <row r="114" spans="1:26" ht="14.25">
      <c r="A114" s="3"/>
      <c r="B114" s="3"/>
      <c r="C114" s="101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U114" s="10"/>
      <c r="V114" s="10"/>
      <c r="W114" s="10"/>
      <c r="X114" s="10"/>
      <c r="Y114" s="10"/>
      <c r="Z114" s="10"/>
    </row>
    <row r="115" spans="1:26" ht="14.25">
      <c r="A115" s="3"/>
      <c r="B115" s="3"/>
      <c r="C115" s="117" t="s">
        <v>127</v>
      </c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U115" s="10"/>
      <c r="V115" s="10"/>
      <c r="W115" s="10"/>
      <c r="X115" s="10"/>
      <c r="Y115" s="10"/>
      <c r="Z115" s="10"/>
    </row>
    <row r="116" spans="1:34" ht="14.25">
      <c r="A116" s="3">
        <v>1</v>
      </c>
      <c r="B116" s="3">
        <v>67</v>
      </c>
      <c r="C116" s="117" t="s">
        <v>71</v>
      </c>
      <c r="D116" s="113">
        <f>U116*$E$279/100</f>
        <v>0</v>
      </c>
      <c r="E116" s="113">
        <f>V116*$E$279/100</f>
        <v>0</v>
      </c>
      <c r="F116" s="113">
        <f>D116+E116</f>
        <v>0</v>
      </c>
      <c r="G116" s="113">
        <f>E116*$G$279/100</f>
        <v>0</v>
      </c>
      <c r="H116" s="113">
        <f>E116*$H$279/100</f>
        <v>0</v>
      </c>
      <c r="I116" s="113">
        <f>F116+G116+H116</f>
        <v>0</v>
      </c>
      <c r="J116" s="113">
        <f>X116*$J$279/100</f>
        <v>22321.20696102691</v>
      </c>
      <c r="K116" s="113">
        <f>R116*$K$279/100</f>
        <v>5541.074059381222</v>
      </c>
      <c r="L116" s="113">
        <f>R116*$L$279/100</f>
        <v>8462.73129069132</v>
      </c>
      <c r="M116" s="113">
        <f>R116*$M$279/100</f>
        <v>12492.603333877663</v>
      </c>
      <c r="N116" s="113">
        <v>44.84</v>
      </c>
      <c r="O116" s="122">
        <v>277.14</v>
      </c>
      <c r="P116" s="113">
        <v>572.6785714285714</v>
      </c>
      <c r="Q116" s="113"/>
      <c r="R116" s="113">
        <f>Y116*$R$279/100</f>
        <v>28178.91518753821</v>
      </c>
      <c r="S116" s="112">
        <f>I116+J116+K116+L116+M116+N116+O116+P116</f>
        <v>49712.27421640568</v>
      </c>
      <c r="U116" s="31">
        <v>0</v>
      </c>
      <c r="V116" s="31">
        <v>0</v>
      </c>
      <c r="W116" s="31">
        <v>0</v>
      </c>
      <c r="X116" s="31">
        <v>5177.0416139958</v>
      </c>
      <c r="Y116" s="31">
        <v>42088.931982259</v>
      </c>
      <c r="Z116" s="31">
        <v>47265.9735962548</v>
      </c>
      <c r="AG116" s="13">
        <v>5541.074059381222</v>
      </c>
      <c r="AH116" s="13">
        <v>277.14</v>
      </c>
    </row>
    <row r="117" spans="1:26" ht="14.25">
      <c r="A117" s="3"/>
      <c r="B117" s="3"/>
      <c r="C117" s="101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U117" s="10"/>
      <c r="V117" s="10"/>
      <c r="W117" s="10"/>
      <c r="X117" s="10"/>
      <c r="Y117" s="10"/>
      <c r="Z117" s="10"/>
    </row>
    <row r="118" spans="1:34" s="12" customFormat="1" ht="14.25">
      <c r="A118" s="36"/>
      <c r="B118" s="36"/>
      <c r="C118" s="117" t="s">
        <v>128</v>
      </c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U118" s="30"/>
      <c r="V118" s="30"/>
      <c r="W118" s="30"/>
      <c r="X118" s="30"/>
      <c r="Y118" s="30"/>
      <c r="Z118" s="30"/>
      <c r="AG118" s="37"/>
      <c r="AH118" s="37"/>
    </row>
    <row r="119" spans="1:34" s="12" customFormat="1" ht="14.25">
      <c r="A119" s="36"/>
      <c r="B119" s="36"/>
      <c r="C119" s="117" t="s">
        <v>71</v>
      </c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U119" s="29">
        <v>0</v>
      </c>
      <c r="V119" s="29">
        <v>0</v>
      </c>
      <c r="W119" s="29">
        <v>0</v>
      </c>
      <c r="X119" s="29">
        <v>0</v>
      </c>
      <c r="Y119" s="29">
        <v>0</v>
      </c>
      <c r="Z119" s="29">
        <v>0</v>
      </c>
      <c r="AG119" s="37"/>
      <c r="AH119" s="37"/>
    </row>
    <row r="120" spans="1:26" ht="14.25">
      <c r="A120" s="3"/>
      <c r="B120" s="3"/>
      <c r="C120" s="101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U120" s="10"/>
      <c r="V120" s="10"/>
      <c r="W120" s="10"/>
      <c r="X120" s="10"/>
      <c r="Y120" s="10"/>
      <c r="Z120" s="10"/>
    </row>
    <row r="121" spans="1:26" ht="14.25">
      <c r="A121" s="3"/>
      <c r="B121" s="3"/>
      <c r="C121" s="101" t="s">
        <v>129</v>
      </c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U121" s="10"/>
      <c r="V121" s="10"/>
      <c r="W121" s="10"/>
      <c r="X121" s="10"/>
      <c r="Y121" s="10"/>
      <c r="Z121" s="10"/>
    </row>
    <row r="122" spans="1:34" ht="14.25">
      <c r="A122" s="3"/>
      <c r="B122" s="3">
        <v>68</v>
      </c>
      <c r="C122" s="117" t="s">
        <v>71</v>
      </c>
      <c r="D122" s="113">
        <f aca="true" t="shared" si="51" ref="D122:E124">U122*$E$279/100</f>
        <v>0</v>
      </c>
      <c r="E122" s="113">
        <f t="shared" si="51"/>
        <v>0</v>
      </c>
      <c r="F122" s="113">
        <f>D122+E122</f>
        <v>0</v>
      </c>
      <c r="G122" s="113">
        <f>E122*$G$279/100</f>
        <v>0</v>
      </c>
      <c r="H122" s="113">
        <f>E122*$H$279/100</f>
        <v>0</v>
      </c>
      <c r="I122" s="113">
        <f>F122+G122+H122</f>
        <v>0</v>
      </c>
      <c r="J122" s="113">
        <f>X122*$J$279/100</f>
        <v>674558.7344825199</v>
      </c>
      <c r="K122" s="113">
        <f>R122*$K$279/100</f>
        <v>5092.884734597722</v>
      </c>
      <c r="L122" s="113">
        <f>R122*$L$279/100</f>
        <v>7778.223958294701</v>
      </c>
      <c r="M122" s="113">
        <f>R122*$M$279/100</f>
        <v>11482.140128911225</v>
      </c>
      <c r="N122" s="113">
        <v>44.84</v>
      </c>
      <c r="O122" s="112">
        <v>274</v>
      </c>
      <c r="P122" s="116">
        <v>572</v>
      </c>
      <c r="Q122" s="116"/>
      <c r="R122" s="113">
        <f>Y122*$R$279/100</f>
        <v>25899.66592364286</v>
      </c>
      <c r="S122" s="112">
        <f>I122+J122+K122+L122+M122+N122+O122+P122</f>
        <v>699802.8233043236</v>
      </c>
      <c r="U122" s="31">
        <v>0</v>
      </c>
      <c r="V122" s="31">
        <v>0</v>
      </c>
      <c r="W122" s="31">
        <v>0</v>
      </c>
      <c r="X122" s="31">
        <v>156452.948337328</v>
      </c>
      <c r="Y122" s="31">
        <v>38684.5721408578</v>
      </c>
      <c r="Z122" s="31">
        <v>195137.520478185</v>
      </c>
      <c r="AG122" s="13">
        <v>5092.884734597722</v>
      </c>
      <c r="AH122" s="13">
        <v>277.14</v>
      </c>
    </row>
    <row r="123" spans="1:34" ht="14.25">
      <c r="A123" s="3"/>
      <c r="B123" s="3">
        <v>69</v>
      </c>
      <c r="C123" s="117" t="s">
        <v>130</v>
      </c>
      <c r="D123" s="113">
        <f t="shared" si="51"/>
        <v>0</v>
      </c>
      <c r="E123" s="113">
        <f t="shared" si="51"/>
        <v>0</v>
      </c>
      <c r="F123" s="113">
        <f>D123+E123</f>
        <v>0</v>
      </c>
      <c r="G123" s="113">
        <f>E123*$G$279/100</f>
        <v>0</v>
      </c>
      <c r="H123" s="113">
        <f>E123*$H$279/100</f>
        <v>0</v>
      </c>
      <c r="I123" s="113">
        <f>F123+G123+H123</f>
        <v>0</v>
      </c>
      <c r="J123" s="113">
        <f>X123*$J$279/100</f>
        <v>522.8832764606358</v>
      </c>
      <c r="K123" s="113">
        <f>R123*$K$279/100</f>
        <v>399.62975811919983</v>
      </c>
      <c r="L123" s="113">
        <f>R123*$L$279/100</f>
        <v>610.3436305820507</v>
      </c>
      <c r="M123" s="113">
        <f>R123*$M$279/100</f>
        <v>900.9834546687415</v>
      </c>
      <c r="N123" s="113">
        <v>44.84</v>
      </c>
      <c r="O123" s="112">
        <v>274</v>
      </c>
      <c r="P123" s="116">
        <v>572</v>
      </c>
      <c r="Q123" s="116"/>
      <c r="R123" s="113">
        <f>Y123*$R$279/100</f>
        <v>2032.3014888046607</v>
      </c>
      <c r="S123" s="112">
        <f>I123+J123+K123+L123+M123+N123+O123+P123</f>
        <v>3324.680119830628</v>
      </c>
      <c r="U123" s="31">
        <v>0</v>
      </c>
      <c r="V123" s="31">
        <v>0</v>
      </c>
      <c r="W123" s="31">
        <v>0</v>
      </c>
      <c r="X123" s="31">
        <v>121.274288</v>
      </c>
      <c r="Y123" s="31">
        <v>3035.51072</v>
      </c>
      <c r="Z123" s="31">
        <v>3156.785008</v>
      </c>
      <c r="AG123" s="13">
        <v>399.62975811919983</v>
      </c>
      <c r="AH123" s="13">
        <v>277.14</v>
      </c>
    </row>
    <row r="124" spans="1:34" ht="14.25">
      <c r="A124" s="3"/>
      <c r="B124" s="3">
        <v>70</v>
      </c>
      <c r="C124" s="117" t="s">
        <v>131</v>
      </c>
      <c r="D124" s="113">
        <f t="shared" si="51"/>
        <v>0</v>
      </c>
      <c r="E124" s="113">
        <f t="shared" si="51"/>
        <v>0</v>
      </c>
      <c r="F124" s="113">
        <f>D124+E124</f>
        <v>0</v>
      </c>
      <c r="G124" s="113">
        <f>E124*$G$279/100</f>
        <v>0</v>
      </c>
      <c r="H124" s="113">
        <f>E124*$H$279/100</f>
        <v>0</v>
      </c>
      <c r="I124" s="113">
        <f>F124+G124+H124</f>
        <v>0</v>
      </c>
      <c r="J124" s="113">
        <f>X124*$J$279/100</f>
        <v>522.8832764606358</v>
      </c>
      <c r="K124" s="113">
        <f>R124*$K$279/100</f>
        <v>399.62975811919983</v>
      </c>
      <c r="L124" s="113">
        <f>R124*$L$279/100</f>
        <v>610.3436305820507</v>
      </c>
      <c r="M124" s="113">
        <f>R124*$M$279/100</f>
        <v>900.9834546687415</v>
      </c>
      <c r="N124" s="113">
        <v>44.84</v>
      </c>
      <c r="O124" s="112">
        <v>274</v>
      </c>
      <c r="P124" s="116">
        <v>572</v>
      </c>
      <c r="Q124" s="116"/>
      <c r="R124" s="113">
        <f>Y124*$R$279/100</f>
        <v>2032.3014888046607</v>
      </c>
      <c r="S124" s="112">
        <f>I124+J124+K124+L124+M124+N124+O124+P124</f>
        <v>3324.680119830628</v>
      </c>
      <c r="U124" s="31">
        <v>0</v>
      </c>
      <c r="V124" s="31">
        <v>0</v>
      </c>
      <c r="W124" s="31">
        <v>0</v>
      </c>
      <c r="X124" s="31">
        <v>121.274288</v>
      </c>
      <c r="Y124" s="31">
        <v>3035.51072</v>
      </c>
      <c r="Z124" s="31">
        <v>3156.785008</v>
      </c>
      <c r="AG124" s="13">
        <v>399.62975811919983</v>
      </c>
      <c r="AH124" s="13">
        <v>277.14</v>
      </c>
    </row>
    <row r="125" spans="1:26" ht="14.25">
      <c r="A125" s="3">
        <v>3</v>
      </c>
      <c r="B125" s="3"/>
      <c r="C125" s="101" t="s">
        <v>17</v>
      </c>
      <c r="D125" s="112">
        <f>SUM(D122:D124)</f>
        <v>0</v>
      </c>
      <c r="E125" s="112">
        <f>SUM(E122:E124)</f>
        <v>0</v>
      </c>
      <c r="F125" s="113">
        <f>D125+E125</f>
        <v>0</v>
      </c>
      <c r="G125" s="113">
        <f>SUM(G122:G124)</f>
        <v>0</v>
      </c>
      <c r="H125" s="113">
        <f>SUM(H122:H124)</f>
        <v>0</v>
      </c>
      <c r="I125" s="113">
        <f>F125+G125+H125</f>
        <v>0</v>
      </c>
      <c r="J125" s="112">
        <f aca="true" t="shared" si="52" ref="J125:P125">SUM(J122:J124)</f>
        <v>675604.5010354412</v>
      </c>
      <c r="K125" s="112">
        <f t="shared" si="52"/>
        <v>5892.1442508361215</v>
      </c>
      <c r="L125" s="112">
        <f t="shared" si="52"/>
        <v>8998.911219458803</v>
      </c>
      <c r="M125" s="112">
        <f t="shared" si="52"/>
        <v>13284.107038248709</v>
      </c>
      <c r="N125" s="112">
        <f t="shared" si="52"/>
        <v>134.52</v>
      </c>
      <c r="O125" s="112">
        <f t="shared" si="52"/>
        <v>822</v>
      </c>
      <c r="P125" s="112">
        <f t="shared" si="52"/>
        <v>1716</v>
      </c>
      <c r="Q125" s="112"/>
      <c r="R125" s="112">
        <f>SUM(R122:R124)</f>
        <v>29964.26890125218</v>
      </c>
      <c r="S125" s="112">
        <f>SUM(S122:S124)</f>
        <v>706452.1835439849</v>
      </c>
      <c r="U125" s="10">
        <v>0</v>
      </c>
      <c r="V125" s="10">
        <v>0</v>
      </c>
      <c r="W125" s="10">
        <v>0</v>
      </c>
      <c r="X125" s="10">
        <v>156695.496913328</v>
      </c>
      <c r="Y125" s="10">
        <v>44756.5935808578</v>
      </c>
      <c r="Z125" s="10">
        <v>201452.090494185</v>
      </c>
    </row>
    <row r="126" spans="1:26" ht="14.25">
      <c r="A126" s="3"/>
      <c r="B126" s="3"/>
      <c r="C126" s="101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U126" s="10"/>
      <c r="V126" s="10"/>
      <c r="W126" s="10"/>
      <c r="X126" s="10"/>
      <c r="Y126" s="10"/>
      <c r="Z126" s="10"/>
    </row>
    <row r="127" spans="1:26" ht="14.25">
      <c r="A127" s="3"/>
      <c r="B127" s="3"/>
      <c r="C127" s="101" t="s">
        <v>132</v>
      </c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U127" s="10"/>
      <c r="V127" s="10"/>
      <c r="W127" s="10"/>
      <c r="X127" s="10"/>
      <c r="Y127" s="10"/>
      <c r="Z127" s="10"/>
    </row>
    <row r="128" spans="1:34" ht="14.25">
      <c r="A128" s="3">
        <v>1</v>
      </c>
      <c r="B128" s="3">
        <v>71</v>
      </c>
      <c r="C128" s="117" t="s">
        <v>71</v>
      </c>
      <c r="D128" s="113">
        <f>U128*$E$279/100</f>
        <v>0</v>
      </c>
      <c r="E128" s="113">
        <f>V128*$E$279/100</f>
        <v>0</v>
      </c>
      <c r="F128" s="113">
        <f>D128+E128</f>
        <v>0</v>
      </c>
      <c r="G128" s="113">
        <f>E128*$G$279/100</f>
        <v>0</v>
      </c>
      <c r="H128" s="113">
        <f>E128*$H$279/100</f>
        <v>0</v>
      </c>
      <c r="I128" s="113">
        <f>F128+G128+H128</f>
        <v>0</v>
      </c>
      <c r="J128" s="113">
        <f>X128*$J$279/100</f>
        <v>748454.1926575936</v>
      </c>
      <c r="K128" s="113">
        <f>R128*$K$279/100</f>
        <v>35190.01600974879</v>
      </c>
      <c r="L128" s="113">
        <f>R128*$L$279/100</f>
        <v>53744.75172397996</v>
      </c>
      <c r="M128" s="113">
        <f>R128*$M$279/100</f>
        <v>79337.4906401609</v>
      </c>
      <c r="N128" s="113">
        <v>44.84</v>
      </c>
      <c r="O128" s="122">
        <v>277.14</v>
      </c>
      <c r="P128" s="113">
        <v>572.6785714285714</v>
      </c>
      <c r="Q128" s="113"/>
      <c r="R128" s="113">
        <f>Y128*$R$279/100</f>
        <v>178957.44867513247</v>
      </c>
      <c r="S128" s="112">
        <f>I128+J128+K128+L128+M128+N128+O128+P128</f>
        <v>917621.1096029117</v>
      </c>
      <c r="U128" s="31">
        <v>0</v>
      </c>
      <c r="V128" s="31">
        <v>0</v>
      </c>
      <c r="W128" s="31">
        <v>0</v>
      </c>
      <c r="X128" s="31">
        <v>173591.800314535</v>
      </c>
      <c r="Y128" s="31">
        <v>267296.588065152</v>
      </c>
      <c r="Z128" s="31">
        <v>440889.388379688</v>
      </c>
      <c r="AG128" s="13">
        <v>35190.01600974879</v>
      </c>
      <c r="AH128" s="13">
        <v>277.14</v>
      </c>
    </row>
    <row r="129" spans="1:26" ht="14.25">
      <c r="A129" s="3"/>
      <c r="B129" s="3"/>
      <c r="C129" s="101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U129" s="10"/>
      <c r="V129" s="10"/>
      <c r="W129" s="10"/>
      <c r="X129" s="10"/>
      <c r="Y129" s="10"/>
      <c r="Z129" s="10"/>
    </row>
    <row r="130" spans="1:26" ht="14.25">
      <c r="A130" s="3"/>
      <c r="B130" s="3"/>
      <c r="C130" s="117" t="s">
        <v>133</v>
      </c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U130" s="10"/>
      <c r="V130" s="10"/>
      <c r="W130" s="10"/>
      <c r="X130" s="10"/>
      <c r="Y130" s="10"/>
      <c r="Z130" s="10"/>
    </row>
    <row r="131" spans="1:34" ht="14.25">
      <c r="A131" s="3">
        <v>1</v>
      </c>
      <c r="B131" s="3">
        <v>72</v>
      </c>
      <c r="C131" s="117" t="s">
        <v>71</v>
      </c>
      <c r="D131" s="113">
        <f>U131*$E$279/100</f>
        <v>0</v>
      </c>
      <c r="E131" s="113">
        <f>V131*$E$279/100</f>
        <v>0</v>
      </c>
      <c r="F131" s="113">
        <f>D131+E131</f>
        <v>0</v>
      </c>
      <c r="G131" s="113">
        <f>E131*$G$279/100</f>
        <v>0</v>
      </c>
      <c r="H131" s="113">
        <f>E131*$H$279/100</f>
        <v>0</v>
      </c>
      <c r="I131" s="113">
        <f>F131+G131+H131</f>
        <v>0</v>
      </c>
      <c r="J131" s="113">
        <f>X131*$J$279/100</f>
        <v>15822.508374273353</v>
      </c>
      <c r="K131" s="113">
        <f>R131*$K$279/100</f>
        <v>4137.727157190248</v>
      </c>
      <c r="L131" s="113">
        <f>R131*$L$279/100</f>
        <v>6319.437840072379</v>
      </c>
      <c r="M131" s="113">
        <f>R131*$M$279/100</f>
        <v>9328.693954392558</v>
      </c>
      <c r="N131" s="113">
        <v>44.84</v>
      </c>
      <c r="O131" s="122">
        <v>277.14</v>
      </c>
      <c r="P131" s="113">
        <v>572.6785714285714</v>
      </c>
      <c r="Q131" s="113"/>
      <c r="R131" s="113">
        <f>Y131*$R$279/100</f>
        <v>21042.249459603518</v>
      </c>
      <c r="S131" s="112">
        <f>I131+J131+K131+L131+M131+N131+O131+P131</f>
        <v>36503.02589735711</v>
      </c>
      <c r="U131" s="31">
        <v>0</v>
      </c>
      <c r="V131" s="31">
        <v>0</v>
      </c>
      <c r="W131" s="31">
        <v>0</v>
      </c>
      <c r="X131" s="31">
        <v>3669.77397030692</v>
      </c>
      <c r="Y131" s="31">
        <v>31429.3790362322</v>
      </c>
      <c r="Z131" s="31">
        <v>35099.1530065391</v>
      </c>
      <c r="AG131" s="13">
        <v>4137.727157190248</v>
      </c>
      <c r="AH131" s="13">
        <v>277.14</v>
      </c>
    </row>
    <row r="132" spans="1:26" ht="14.25">
      <c r="A132" s="3"/>
      <c r="B132" s="3"/>
      <c r="C132" s="101"/>
      <c r="D132" s="112"/>
      <c r="E132" s="112"/>
      <c r="F132" s="112"/>
      <c r="G132" s="112"/>
      <c r="H132" s="112"/>
      <c r="I132" s="112"/>
      <c r="J132" s="113"/>
      <c r="K132" s="112"/>
      <c r="L132" s="112"/>
      <c r="M132" s="112"/>
      <c r="N132" s="112"/>
      <c r="O132" s="112"/>
      <c r="P132" s="112"/>
      <c r="Q132" s="112"/>
      <c r="R132" s="112"/>
      <c r="S132" s="112"/>
      <c r="U132" s="10"/>
      <c r="V132" s="10"/>
      <c r="W132" s="10"/>
      <c r="X132" s="10"/>
      <c r="Y132" s="10"/>
      <c r="Z132" s="10"/>
    </row>
    <row r="133" spans="1:26" ht="14.25">
      <c r="A133" s="3"/>
      <c r="B133" s="3"/>
      <c r="C133" s="101" t="s">
        <v>134</v>
      </c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U133" s="10"/>
      <c r="V133" s="10"/>
      <c r="W133" s="10"/>
      <c r="X133" s="10"/>
      <c r="Y133" s="10"/>
      <c r="Z133" s="10"/>
    </row>
    <row r="134" spans="1:34" ht="14.25">
      <c r="A134" s="3">
        <v>1</v>
      </c>
      <c r="B134" s="3">
        <v>73</v>
      </c>
      <c r="C134" s="117" t="s">
        <v>71</v>
      </c>
      <c r="D134" s="113">
        <f>U134*$E$279/100</f>
        <v>0</v>
      </c>
      <c r="E134" s="113">
        <f>V134*$E$279/100</f>
        <v>0</v>
      </c>
      <c r="F134" s="113">
        <f>D134+E134</f>
        <v>0</v>
      </c>
      <c r="G134" s="113">
        <f>E134*$G$279/100</f>
        <v>0</v>
      </c>
      <c r="H134" s="113">
        <f>E134*$H$279/100</f>
        <v>0</v>
      </c>
      <c r="I134" s="113">
        <f>F134+G134+H134</f>
        <v>0</v>
      </c>
      <c r="J134" s="113">
        <f>X134*$J$279/100</f>
        <v>4248.91687831773</v>
      </c>
      <c r="K134" s="113">
        <f>R134*$K$279/100</f>
        <v>3087.0538220420217</v>
      </c>
      <c r="L134" s="113">
        <f>R134*$L$279/100</f>
        <v>4714.773110027815</v>
      </c>
      <c r="M134" s="113">
        <f>R134*$M$279/100</f>
        <v>6959.903162422013</v>
      </c>
      <c r="N134" s="113">
        <v>44.84</v>
      </c>
      <c r="O134" s="122">
        <v>277.14</v>
      </c>
      <c r="P134" s="113">
        <v>572.6785714285714</v>
      </c>
      <c r="Q134" s="113"/>
      <c r="R134" s="113">
        <f>Y134*$R$279/100</f>
        <v>15699.091349160215</v>
      </c>
      <c r="S134" s="112">
        <f>I134+J134+K134+L134+M134+N134+O134+P134</f>
        <v>19905.305544238156</v>
      </c>
      <c r="U134" s="31">
        <v>0</v>
      </c>
      <c r="V134" s="31">
        <v>0</v>
      </c>
      <c r="W134" s="31">
        <v>0</v>
      </c>
      <c r="X134" s="31">
        <v>985.467297170208</v>
      </c>
      <c r="Y134" s="31">
        <v>23448.666621144</v>
      </c>
      <c r="Z134" s="31">
        <v>24434.1339183142</v>
      </c>
      <c r="AG134" s="13">
        <v>3087.0538220420217</v>
      </c>
      <c r="AH134" s="13">
        <v>277.14</v>
      </c>
    </row>
    <row r="135" spans="1:26" ht="14.25">
      <c r="A135" s="3"/>
      <c r="B135" s="3"/>
      <c r="C135" s="101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U135" s="10"/>
      <c r="V135" s="10"/>
      <c r="W135" s="10"/>
      <c r="X135" s="10"/>
      <c r="Y135" s="10"/>
      <c r="Z135" s="10"/>
    </row>
    <row r="136" spans="1:26" ht="14.25">
      <c r="A136" s="3"/>
      <c r="B136" s="3"/>
      <c r="C136" s="101" t="s">
        <v>135</v>
      </c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23"/>
      <c r="P136" s="112"/>
      <c r="Q136" s="112"/>
      <c r="R136" s="112"/>
      <c r="S136" s="112"/>
      <c r="U136" s="10"/>
      <c r="V136" s="10"/>
      <c r="W136" s="10"/>
      <c r="X136" s="10"/>
      <c r="Y136" s="10"/>
      <c r="Z136" s="10"/>
    </row>
    <row r="137" spans="1:34" ht="14.25">
      <c r="A137" s="3"/>
      <c r="B137" s="3">
        <v>74</v>
      </c>
      <c r="C137" s="117" t="s">
        <v>136</v>
      </c>
      <c r="D137" s="113">
        <f>U137*$E$279/100+50</f>
        <v>413.26149857927396</v>
      </c>
      <c r="E137" s="113">
        <f>V137*$E$279/100</f>
        <v>1521.5218093732383</v>
      </c>
      <c r="F137" s="113">
        <f aca="true" t="shared" si="53" ref="F137:F142">D137+E137</f>
        <v>1934.7833079525121</v>
      </c>
      <c r="G137" s="113">
        <f>E137*$G$279/100</f>
        <v>184.1751207740495</v>
      </c>
      <c r="H137" s="113">
        <f>E137*$H$279/100</f>
        <v>172.50598467949868</v>
      </c>
      <c r="I137" s="113">
        <f>F137+G137+H137</f>
        <v>2291.4644134060604</v>
      </c>
      <c r="J137" s="113">
        <f>X137*$J$279/100+34</f>
        <v>4282.91687831773</v>
      </c>
      <c r="K137" s="113">
        <f>R137*$K$279/100</f>
        <v>3589.7683364670143</v>
      </c>
      <c r="L137" s="113">
        <f>R137*$L$279/100</f>
        <v>5482.555277513257</v>
      </c>
      <c r="M137" s="113">
        <f>R137*$M$279/100</f>
        <v>8093.295885852904</v>
      </c>
      <c r="N137" s="115">
        <v>44.84</v>
      </c>
      <c r="O137" s="112">
        <v>274</v>
      </c>
      <c r="P137" s="116">
        <v>572</v>
      </c>
      <c r="Q137" s="116"/>
      <c r="R137" s="113">
        <f>Y137*$R$279/100</f>
        <v>18255.626330233583</v>
      </c>
      <c r="S137" s="112">
        <f>I137+J137+K137+L137+M137+N137+O137+P137</f>
        <v>24630.840791556966</v>
      </c>
      <c r="U137" s="31">
        <v>408.111724429932</v>
      </c>
      <c r="V137" s="31">
        <v>1709.37710660122</v>
      </c>
      <c r="W137" s="31">
        <v>2117.48883103115</v>
      </c>
      <c r="X137" s="31">
        <v>985.467297170208</v>
      </c>
      <c r="Y137" s="31">
        <v>27267.1893077891</v>
      </c>
      <c r="Z137" s="31">
        <v>30369.1454359905</v>
      </c>
      <c r="AG137" s="13">
        <v>3589.7683364670143</v>
      </c>
      <c r="AH137" s="13">
        <v>277.14</v>
      </c>
    </row>
    <row r="138" spans="1:34" ht="14.25">
      <c r="A138" s="3"/>
      <c r="B138" s="3">
        <v>75</v>
      </c>
      <c r="C138" s="117" t="s">
        <v>137</v>
      </c>
      <c r="D138" s="113">
        <f>U138*$E$279/100</f>
        <v>0</v>
      </c>
      <c r="E138" s="113">
        <f>V138*$E$279/100</f>
        <v>549.0027147223024</v>
      </c>
      <c r="F138" s="113">
        <f t="shared" si="53"/>
        <v>549.0027147223024</v>
      </c>
      <c r="G138" s="113">
        <f>E138*$G$279/100</f>
        <v>66.45494048548177</v>
      </c>
      <c r="H138" s="113">
        <f>E138*$H$279/100-20</f>
        <v>42.24442746167477</v>
      </c>
      <c r="I138" s="113">
        <f>F138+G138+H138</f>
        <v>657.7020826694588</v>
      </c>
      <c r="J138" s="113">
        <f>X138*$J$279/100</f>
        <v>2302.935977407987</v>
      </c>
      <c r="K138" s="113">
        <f>R138*$K$279/100</f>
        <v>17869.567470444974</v>
      </c>
      <c r="L138" s="113">
        <f>R138*$L$279/100</f>
        <v>27291.703045770504</v>
      </c>
      <c r="M138" s="113">
        <f>R138*$M$279/100</f>
        <v>40287.75211518503</v>
      </c>
      <c r="N138" s="115">
        <v>44.84</v>
      </c>
      <c r="O138" s="112">
        <v>274</v>
      </c>
      <c r="P138" s="116">
        <v>572</v>
      </c>
      <c r="Q138" s="116"/>
      <c r="R138" s="113">
        <f>Y138*$R$279/100</f>
        <v>90874.98575030634</v>
      </c>
      <c r="S138" s="112">
        <f>I138+J138+K138+L138+M138+N138+O138+P138</f>
        <v>89300.50069147795</v>
      </c>
      <c r="U138" s="31">
        <v>0</v>
      </c>
      <c r="V138" s="31">
        <v>616.785553928275</v>
      </c>
      <c r="W138" s="31">
        <v>616.785553928275</v>
      </c>
      <c r="X138" s="31">
        <v>534.128616352417</v>
      </c>
      <c r="Y138" s="31">
        <v>135733.794884513</v>
      </c>
      <c r="Z138" s="31">
        <v>136884.709054794</v>
      </c>
      <c r="AG138" s="13">
        <v>17869.567470444974</v>
      </c>
      <c r="AH138" s="13">
        <v>277.14</v>
      </c>
    </row>
    <row r="139" spans="1:34" ht="14.25">
      <c r="A139" s="3"/>
      <c r="B139" s="3">
        <v>76</v>
      </c>
      <c r="C139" s="117" t="s">
        <v>138</v>
      </c>
      <c r="D139" s="113">
        <f>U139*$E$279/100</f>
        <v>0</v>
      </c>
      <c r="E139" s="113">
        <f>V139*$E$279/100</f>
        <v>156.85791849208624</v>
      </c>
      <c r="F139" s="113">
        <f t="shared" si="53"/>
        <v>156.85791849208624</v>
      </c>
      <c r="G139" s="113">
        <f>E139*$G$279/100</f>
        <v>18.987125852994772</v>
      </c>
      <c r="H139" s="113">
        <f>E139*$H$279/100</f>
        <v>17.784122131907058</v>
      </c>
      <c r="I139" s="113">
        <f>F139+G139+H139</f>
        <v>193.62916647698808</v>
      </c>
      <c r="J139" s="113">
        <f>X139*$J$279/100</f>
        <v>23029.359774079872</v>
      </c>
      <c r="K139" s="113">
        <f>R139*$K$279/100</f>
        <v>7888.750841745879</v>
      </c>
      <c r="L139" s="113">
        <f>R139*$L$279/100</f>
        <v>12048.274012848253</v>
      </c>
      <c r="M139" s="113">
        <f>R139*$M$279/100</f>
        <v>17785.547352299804</v>
      </c>
      <c r="N139" s="115">
        <v>44.84</v>
      </c>
      <c r="O139" s="112">
        <v>274</v>
      </c>
      <c r="P139" s="116">
        <v>572</v>
      </c>
      <c r="Q139" s="116"/>
      <c r="R139" s="113">
        <f>Y139*$R$279/100</f>
        <v>40117.93354915056</v>
      </c>
      <c r="S139" s="112">
        <f>I139+J139+K139+L139+M139+N139+O139+P139</f>
        <v>61836.4011474508</v>
      </c>
      <c r="U139" s="31">
        <v>0</v>
      </c>
      <c r="V139" s="31">
        <v>176.224443979507</v>
      </c>
      <c r="W139" s="31">
        <v>176.224443979507</v>
      </c>
      <c r="X139" s="31">
        <v>5341.28616352417</v>
      </c>
      <c r="Y139" s="31">
        <v>59921.4329288912</v>
      </c>
      <c r="Z139" s="31">
        <v>65437.9435363949</v>
      </c>
      <c r="AG139" s="13">
        <v>7888.750841745879</v>
      </c>
      <c r="AH139" s="13">
        <v>277.14</v>
      </c>
    </row>
    <row r="140" spans="1:34" ht="14.25">
      <c r="A140" s="3"/>
      <c r="B140" s="3">
        <v>77</v>
      </c>
      <c r="C140" s="117" t="s">
        <v>139</v>
      </c>
      <c r="D140" s="113">
        <f>U140*$E$279/100</f>
        <v>0</v>
      </c>
      <c r="E140" s="113">
        <f>V140*$E$279/100</f>
        <v>688.2141173840283</v>
      </c>
      <c r="F140" s="113">
        <f t="shared" si="53"/>
        <v>688.2141173840283</v>
      </c>
      <c r="G140" s="113">
        <f>E140*$G$279/100</f>
        <v>83.30601468001456</v>
      </c>
      <c r="H140" s="113">
        <f>E140*$H$279/100</f>
        <v>78.02783585374222</v>
      </c>
      <c r="I140" s="113">
        <f>F140+G140+H140</f>
        <v>849.5479679177851</v>
      </c>
      <c r="J140" s="113">
        <v>130657</v>
      </c>
      <c r="K140" s="113">
        <f>R140*$K$279/100</f>
        <v>10768.531602455767</v>
      </c>
      <c r="L140" s="113">
        <f>R140*$L$279/100</f>
        <v>16446.48462920517</v>
      </c>
      <c r="M140" s="113">
        <f>R140*$M$279/100</f>
        <v>24278.14397644573</v>
      </c>
      <c r="N140" s="115">
        <v>44.84</v>
      </c>
      <c r="O140" s="112">
        <v>274</v>
      </c>
      <c r="P140" s="116">
        <v>572</v>
      </c>
      <c r="Q140" s="116"/>
      <c r="R140" s="113">
        <f>Y140*$R$279/100</f>
        <v>54762.94585996061</v>
      </c>
      <c r="S140" s="112">
        <f>I140+J140+K140+L140+M140+N140+O140+P140</f>
        <v>183890.54817602443</v>
      </c>
      <c r="U140" s="31">
        <v>0</v>
      </c>
      <c r="V140" s="31">
        <v>773.184747960087</v>
      </c>
      <c r="W140" s="31">
        <v>773.184747960087</v>
      </c>
      <c r="X140" s="31">
        <v>215850.721118798</v>
      </c>
      <c r="Y140" s="31">
        <v>81795.6932730801</v>
      </c>
      <c r="Z140" s="31">
        <v>298419.599139838</v>
      </c>
      <c r="AG140" s="13">
        <v>10768.531602455767</v>
      </c>
      <c r="AH140" s="13">
        <v>277.14</v>
      </c>
    </row>
    <row r="141" spans="1:34" ht="14.25">
      <c r="A141" s="3"/>
      <c r="B141" s="3">
        <v>78</v>
      </c>
      <c r="C141" s="117" t="s">
        <v>140</v>
      </c>
      <c r="D141" s="113">
        <f>U141*$E$279/100+200</f>
        <v>7275.1512804684135</v>
      </c>
      <c r="E141" s="113">
        <f>V141*$E$279/100</f>
        <v>686.2533934028771</v>
      </c>
      <c r="F141" s="113">
        <f t="shared" si="53"/>
        <v>7961.4046738712905</v>
      </c>
      <c r="G141" s="113">
        <f>E141*$G$279/100</f>
        <v>83.0686756068521</v>
      </c>
      <c r="H141" s="113">
        <f>E141*$H$279/100</f>
        <v>77.80553432709337</v>
      </c>
      <c r="I141" s="113">
        <f>F141+G141+H141</f>
        <v>8122.278883805236</v>
      </c>
      <c r="J141" s="113">
        <f>X141*$J$279/100</f>
        <v>21273.371091306228</v>
      </c>
      <c r="K141" s="113">
        <f>R141*$K$279/100</f>
        <v>4930.469276091175</v>
      </c>
      <c r="L141" s="113">
        <f>R141*$L$279/100</f>
        <v>7530.171258030157</v>
      </c>
      <c r="M141" s="113">
        <f>R141*$M$279/100</f>
        <v>11115.967095187376</v>
      </c>
      <c r="N141" s="115">
        <v>44.84</v>
      </c>
      <c r="O141" s="112">
        <v>274</v>
      </c>
      <c r="P141" s="116">
        <v>572</v>
      </c>
      <c r="Q141" s="116"/>
      <c r="R141" s="113">
        <f>Y141*$R$279/100</f>
        <v>25073.7084682191</v>
      </c>
      <c r="S141" s="112">
        <f>I141+J141+K141+L141+M141+N141+O141+P141</f>
        <v>53863.097604420174</v>
      </c>
      <c r="U141" s="31">
        <v>7948.68765604809</v>
      </c>
      <c r="V141" s="31">
        <v>770.981942410343</v>
      </c>
      <c r="W141" s="31">
        <v>8719.66959845843</v>
      </c>
      <c r="X141" s="31">
        <v>4934.01309355544</v>
      </c>
      <c r="Y141" s="31">
        <v>37450.895580557</v>
      </c>
      <c r="Z141" s="31">
        <v>51104.5782725709</v>
      </c>
      <c r="AG141" s="13">
        <v>4930.469276091175</v>
      </c>
      <c r="AH141" s="13">
        <v>277.14</v>
      </c>
    </row>
    <row r="142" spans="1:26" ht="14.25">
      <c r="A142" s="3">
        <v>5</v>
      </c>
      <c r="B142" s="3"/>
      <c r="C142" s="101" t="s">
        <v>78</v>
      </c>
      <c r="D142" s="113">
        <f>SUM(D137:D141)</f>
        <v>7688.412779047688</v>
      </c>
      <c r="E142" s="113">
        <f>SUM(E137:E141)</f>
        <v>3601.849953374532</v>
      </c>
      <c r="F142" s="113">
        <f t="shared" si="53"/>
        <v>11290.26273242222</v>
      </c>
      <c r="G142" s="113">
        <f aca="true" t="shared" si="54" ref="G142:P142">SUM(G137:G141)</f>
        <v>435.99187739939265</v>
      </c>
      <c r="H142" s="113">
        <f t="shared" si="54"/>
        <v>388.3679044539161</v>
      </c>
      <c r="I142" s="113">
        <f t="shared" si="54"/>
        <v>12114.622514275528</v>
      </c>
      <c r="J142" s="113">
        <f t="shared" si="54"/>
        <v>181545.58372111182</v>
      </c>
      <c r="K142" s="112">
        <f t="shared" si="54"/>
        <v>45047.087527204814</v>
      </c>
      <c r="L142" s="112">
        <f t="shared" si="54"/>
        <v>68799.18822336734</v>
      </c>
      <c r="M142" s="112">
        <f t="shared" si="54"/>
        <v>101560.70642497083</v>
      </c>
      <c r="N142" s="112">
        <f t="shared" si="54"/>
        <v>224.20000000000002</v>
      </c>
      <c r="O142" s="121">
        <f t="shared" si="54"/>
        <v>1370</v>
      </c>
      <c r="P142" s="112">
        <f t="shared" si="54"/>
        <v>2860</v>
      </c>
      <c r="Q142" s="112"/>
      <c r="R142" s="112">
        <f>SUM(R137:R141)</f>
        <v>229085.19995787018</v>
      </c>
      <c r="S142" s="112">
        <f>SUM(S137:S141)</f>
        <v>413521.3884109303</v>
      </c>
      <c r="U142" s="31">
        <v>8356.79938047802</v>
      </c>
      <c r="V142" s="31">
        <v>4045.55379487943</v>
      </c>
      <c r="W142" s="31">
        <v>12403.3531753575</v>
      </c>
      <c r="X142" s="31">
        <v>227644.6162894</v>
      </c>
      <c r="Y142" s="31">
        <v>342169.00597483</v>
      </c>
      <c r="Z142" s="31">
        <v>582216.975439588</v>
      </c>
    </row>
    <row r="143" spans="1:26" ht="14.25">
      <c r="A143" s="3"/>
      <c r="B143" s="3"/>
      <c r="C143" s="101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U143" s="10"/>
      <c r="V143" s="10"/>
      <c r="W143" s="10"/>
      <c r="X143" s="10"/>
      <c r="Y143" s="10"/>
      <c r="Z143" s="10"/>
    </row>
    <row r="144" spans="1:26" ht="14.25">
      <c r="A144" s="3"/>
      <c r="B144" s="3"/>
      <c r="C144" s="101" t="s">
        <v>141</v>
      </c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U144" s="10"/>
      <c r="V144" s="10"/>
      <c r="W144" s="10"/>
      <c r="X144" s="10"/>
      <c r="Y144" s="10"/>
      <c r="Z144" s="10"/>
    </row>
    <row r="145" spans="1:34" ht="14.25">
      <c r="A145" s="3">
        <v>1</v>
      </c>
      <c r="B145" s="3">
        <v>79</v>
      </c>
      <c r="C145" s="117" t="s">
        <v>71</v>
      </c>
      <c r="D145" s="113">
        <f>U145*$E$279/100</f>
        <v>0</v>
      </c>
      <c r="E145" s="113">
        <f>V145*$E$279/100</f>
        <v>0</v>
      </c>
      <c r="F145" s="113">
        <f>D145+E145</f>
        <v>0</v>
      </c>
      <c r="G145" s="113">
        <f>E145*$G$279/100</f>
        <v>0</v>
      </c>
      <c r="H145" s="113">
        <f>E145*$H$279/100</f>
        <v>0</v>
      </c>
      <c r="I145" s="113">
        <f>F145+G145+H145</f>
        <v>0</v>
      </c>
      <c r="J145" s="113">
        <f>X145*$J$279/100</f>
        <v>26587.395859175194</v>
      </c>
      <c r="K145" s="113">
        <f>R145*$K$279/100</f>
        <v>13927.125566935172</v>
      </c>
      <c r="L145" s="113">
        <f>R145*$L$279/100</f>
        <v>21270.519047682807</v>
      </c>
      <c r="M145" s="113">
        <f>R145*$M$279/100</f>
        <v>31399.33764181748</v>
      </c>
      <c r="N145" s="113">
        <v>44.84</v>
      </c>
      <c r="O145" s="122">
        <v>277.14</v>
      </c>
      <c r="P145" s="113">
        <v>572.6785714285714</v>
      </c>
      <c r="Q145" s="113"/>
      <c r="R145" s="113">
        <f>Y145*$R$279/100</f>
        <v>70825.85180258116</v>
      </c>
      <c r="S145" s="112">
        <f>I145+J145+K145+L145+M145+N145+O145+P145</f>
        <v>94079.03668703922</v>
      </c>
      <c r="U145" s="31">
        <v>0</v>
      </c>
      <c r="V145" s="31">
        <v>0</v>
      </c>
      <c r="W145" s="31">
        <v>0</v>
      </c>
      <c r="X145" s="31">
        <v>6166.51487578865</v>
      </c>
      <c r="Y145" s="31">
        <v>105787.765045785</v>
      </c>
      <c r="Z145" s="31">
        <v>111955.279921574</v>
      </c>
      <c r="AG145" s="13">
        <v>13927.125566935172</v>
      </c>
      <c r="AH145" s="13">
        <v>277.14</v>
      </c>
    </row>
    <row r="146" spans="1:26" ht="14.25">
      <c r="A146" s="3"/>
      <c r="B146" s="3"/>
      <c r="C146" s="101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U146" s="10"/>
      <c r="V146" s="10"/>
      <c r="W146" s="10"/>
      <c r="X146" s="10"/>
      <c r="Y146" s="10"/>
      <c r="Z146" s="10"/>
    </row>
    <row r="147" spans="1:26" ht="14.25">
      <c r="A147" s="3"/>
      <c r="B147" s="3"/>
      <c r="C147" s="101" t="s">
        <v>142</v>
      </c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U147" s="10"/>
      <c r="V147" s="10"/>
      <c r="W147" s="10"/>
      <c r="X147" s="10"/>
      <c r="Y147" s="10"/>
      <c r="Z147" s="10"/>
    </row>
    <row r="148" spans="1:34" ht="14.25">
      <c r="A148" s="3"/>
      <c r="B148" s="3">
        <v>80</v>
      </c>
      <c r="C148" s="117" t="s">
        <v>71</v>
      </c>
      <c r="D148" s="113">
        <f>U148*$E$279/100</f>
        <v>48.38384406861548</v>
      </c>
      <c r="E148" s="113">
        <f>V148*$E$279/100</f>
        <v>692.1355653463318</v>
      </c>
      <c r="F148" s="113">
        <f>D148+E148</f>
        <v>740.5194094149473</v>
      </c>
      <c r="G148" s="113">
        <f>E148*$G$279/100</f>
        <v>83.78069282633959</v>
      </c>
      <c r="H148" s="113">
        <f>E148*$H$279/100</f>
        <v>78.47243890704004</v>
      </c>
      <c r="I148" s="113">
        <f>F148+G148+H148</f>
        <v>902.7725411483268</v>
      </c>
      <c r="J148" s="113">
        <f>X148*$J$279/100</f>
        <v>10639.564215624872</v>
      </c>
      <c r="K148" s="113">
        <f>R148*$K$279/100</f>
        <v>6028.56254430814</v>
      </c>
      <c r="L148" s="113">
        <f>R148*$L$279/100</f>
        <v>9207.259158579704</v>
      </c>
      <c r="M148" s="113">
        <f>R148*$M$279/100</f>
        <v>13591.668281712895</v>
      </c>
      <c r="N148" s="113">
        <v>44.84</v>
      </c>
      <c r="O148" s="122">
        <v>277.14</v>
      </c>
      <c r="P148" s="113">
        <v>572.6785714285714</v>
      </c>
      <c r="Q148" s="113"/>
      <c r="R148" s="113">
        <f>Y148*$R$279/100</f>
        <v>30658.018791721246</v>
      </c>
      <c r="S148" s="112">
        <f>I148+J148+K148+L148+M148+N148+O148+P148</f>
        <v>41264.485312802506</v>
      </c>
      <c r="U148" s="31">
        <v>54.35757468</v>
      </c>
      <c r="V148" s="31">
        <v>777.590359059576</v>
      </c>
      <c r="W148" s="31">
        <v>831.947933739576</v>
      </c>
      <c r="X148" s="31">
        <v>2467.67420754816</v>
      </c>
      <c r="Y148" s="31">
        <v>45791.8006796167</v>
      </c>
      <c r="Z148" s="31">
        <v>49092.4228209044</v>
      </c>
      <c r="AG148" s="13">
        <v>6028.56254430814</v>
      </c>
      <c r="AH148" s="13">
        <v>277.14</v>
      </c>
    </row>
    <row r="149" spans="1:34" ht="14.25">
      <c r="A149" s="3">
        <v>2</v>
      </c>
      <c r="B149" s="3">
        <v>81</v>
      </c>
      <c r="C149" s="101" t="s">
        <v>143</v>
      </c>
      <c r="D149" s="113">
        <f>U149*$E$279/100</f>
        <v>0</v>
      </c>
      <c r="E149" s="113">
        <f>V149*$E$279/100</f>
        <v>35.9434299064368</v>
      </c>
      <c r="F149" s="113">
        <f>D149+E149</f>
        <v>35.9434299064368</v>
      </c>
      <c r="G149" s="113">
        <f>E149*$G$279/100</f>
        <v>4.350831846950991</v>
      </c>
      <c r="H149" s="113">
        <f>E149*$H$279/100+10</f>
        <v>14.075167855347786</v>
      </c>
      <c r="I149" s="113">
        <f>F149+G149+H149</f>
        <v>54.36942960873557</v>
      </c>
      <c r="J149" s="113">
        <f>X149*$J$279/100</f>
        <v>0</v>
      </c>
      <c r="K149" s="113">
        <f>R149*$K$279/100</f>
        <v>3949.5471600825026</v>
      </c>
      <c r="L149" s="113">
        <f>R149*$L$279/100</f>
        <v>6032.035662671458</v>
      </c>
      <c r="M149" s="113">
        <f>R149*$M$279/100</f>
        <v>8904.433597276915</v>
      </c>
      <c r="N149" s="113">
        <v>44.84</v>
      </c>
      <c r="O149" s="122">
        <v>277.14</v>
      </c>
      <c r="P149" s="113">
        <v>572.6785714285714</v>
      </c>
      <c r="Q149" s="113"/>
      <c r="R149" s="113">
        <f>Y149*$R$279/100</f>
        <v>20085.267451844087</v>
      </c>
      <c r="S149" s="112">
        <f>I149+J149+K149+L149+M149+N149+O149+P149</f>
        <v>19835.044421068185</v>
      </c>
      <c r="U149" s="31">
        <v>0</v>
      </c>
      <c r="V149" s="31">
        <v>40.38119982</v>
      </c>
      <c r="W149" s="31">
        <v>40.38119982</v>
      </c>
      <c r="X149" s="31">
        <v>0</v>
      </c>
      <c r="Y149" s="31">
        <v>30000</v>
      </c>
      <c r="Z149" s="31">
        <v>30040.38119982</v>
      </c>
      <c r="AG149" s="13">
        <v>3949.5471600825026</v>
      </c>
      <c r="AH149" s="13">
        <v>277.14</v>
      </c>
    </row>
    <row r="150" spans="1:26" ht="14.25">
      <c r="A150" s="3"/>
      <c r="B150" s="3"/>
      <c r="C150" s="101"/>
      <c r="D150" s="113">
        <f>SUM(D148:D149)</f>
        <v>48.38384406861548</v>
      </c>
      <c r="E150" s="113">
        <f>SUM(E148:E149)</f>
        <v>728.0789952527686</v>
      </c>
      <c r="F150" s="113">
        <f>D150+E150</f>
        <v>776.4628393213841</v>
      </c>
      <c r="G150" s="113">
        <f>SUM(G148:G149)</f>
        <v>88.13152467329058</v>
      </c>
      <c r="H150" s="113">
        <f>SUM(H148:H149)</f>
        <v>92.54760676238783</v>
      </c>
      <c r="I150" s="113">
        <f>F150+G150+H150</f>
        <v>957.1419707570626</v>
      </c>
      <c r="J150" s="113">
        <f aca="true" t="shared" si="55" ref="J150:P150">SUM(J148:J149)</f>
        <v>10639.564215624872</v>
      </c>
      <c r="K150" s="112">
        <f t="shared" si="55"/>
        <v>9978.109704390643</v>
      </c>
      <c r="L150" s="112">
        <f t="shared" si="55"/>
        <v>15239.294821251162</v>
      </c>
      <c r="M150" s="112">
        <f t="shared" si="55"/>
        <v>22496.101878989808</v>
      </c>
      <c r="N150" s="112">
        <f t="shared" si="55"/>
        <v>89.68</v>
      </c>
      <c r="O150" s="112">
        <f t="shared" si="55"/>
        <v>554.28</v>
      </c>
      <c r="P150" s="112">
        <f t="shared" si="55"/>
        <v>1145.357142857143</v>
      </c>
      <c r="Q150" s="112"/>
      <c r="R150" s="112">
        <f>SUM(R148:R149)</f>
        <v>50743.28624356534</v>
      </c>
      <c r="S150" s="112">
        <f>SUM(S148:S149)</f>
        <v>61099.52973387069</v>
      </c>
      <c r="U150" s="31"/>
      <c r="V150" s="31"/>
      <c r="W150" s="31"/>
      <c r="X150" s="31"/>
      <c r="Y150" s="31"/>
      <c r="Z150" s="31"/>
    </row>
    <row r="151" spans="1:26" ht="14.25">
      <c r="A151" s="3"/>
      <c r="B151" s="3"/>
      <c r="C151" s="101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U151" s="31"/>
      <c r="V151" s="31"/>
      <c r="W151" s="31"/>
      <c r="X151" s="31"/>
      <c r="Y151" s="31"/>
      <c r="Z151" s="31"/>
    </row>
    <row r="152" spans="1:26" ht="14.25">
      <c r="A152" s="3"/>
      <c r="B152" s="3"/>
      <c r="C152" s="101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U152" s="10">
        <v>54.35757468</v>
      </c>
      <c r="V152" s="10">
        <v>817.971558879576</v>
      </c>
      <c r="W152" s="10">
        <v>872.329133559576</v>
      </c>
      <c r="X152" s="10">
        <v>2467.67420754816</v>
      </c>
      <c r="Y152" s="10">
        <v>75791.8006796167</v>
      </c>
      <c r="Z152" s="10">
        <v>79131.8040207244</v>
      </c>
    </row>
    <row r="153" spans="1:26" ht="14.25">
      <c r="A153" s="3"/>
      <c r="B153" s="3"/>
      <c r="C153" s="101" t="s">
        <v>144</v>
      </c>
      <c r="D153" s="113"/>
      <c r="E153" s="113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U153" s="10"/>
      <c r="V153" s="10"/>
      <c r="W153" s="10"/>
      <c r="X153" s="10"/>
      <c r="Y153" s="10"/>
      <c r="Z153" s="10"/>
    </row>
    <row r="154" spans="1:34" ht="14.25">
      <c r="A154" s="3">
        <v>1</v>
      </c>
      <c r="B154" s="3">
        <v>82</v>
      </c>
      <c r="C154" s="117" t="s">
        <v>71</v>
      </c>
      <c r="D154" s="113">
        <f>U154*$E$279/100</f>
        <v>0</v>
      </c>
      <c r="E154" s="113">
        <f>V154*$E$279/100</f>
        <v>0</v>
      </c>
      <c r="F154" s="113">
        <f>D154+E154</f>
        <v>0</v>
      </c>
      <c r="G154" s="113">
        <f>E154*$G$279/100</f>
        <v>0</v>
      </c>
      <c r="H154" s="113">
        <f>E154*$H$279/100</f>
        <v>0</v>
      </c>
      <c r="I154" s="113">
        <f>F154+G154+H154</f>
        <v>0</v>
      </c>
      <c r="J154" s="113">
        <f>X154*$J$279/100</f>
        <v>9845.051303419134</v>
      </c>
      <c r="K154" s="113">
        <f>R154*$K$279/100</f>
        <v>7329.964323788884</v>
      </c>
      <c r="L154" s="113">
        <f>R154*$L$279/100</f>
        <v>11194.85460360484</v>
      </c>
      <c r="M154" s="113">
        <f>R154*$M$279/100</f>
        <v>16525.737748178573</v>
      </c>
      <c r="N154" s="113">
        <v>44.84</v>
      </c>
      <c r="O154" s="122">
        <v>277.14</v>
      </c>
      <c r="P154" s="113">
        <v>572.6785714285714</v>
      </c>
      <c r="Q154" s="113"/>
      <c r="R154" s="113">
        <f>Y154*$R$279/100</f>
        <v>37276.24658941908</v>
      </c>
      <c r="S154" s="112">
        <f>I154+J154+K154+L154+M154+N154+O154+P154</f>
        <v>45790.26655042</v>
      </c>
      <c r="U154" s="31">
        <v>0</v>
      </c>
      <c r="V154" s="31">
        <v>0</v>
      </c>
      <c r="W154" s="31">
        <v>0</v>
      </c>
      <c r="X154" s="31">
        <v>2283.39983490658</v>
      </c>
      <c r="Y154" s="31">
        <v>55676.9980964281</v>
      </c>
      <c r="Z154" s="31">
        <v>57960.3979313347</v>
      </c>
      <c r="AG154" s="13">
        <v>7329.964323788884</v>
      </c>
      <c r="AH154" s="13">
        <v>277.14</v>
      </c>
    </row>
    <row r="155" spans="1:26" ht="14.25">
      <c r="A155" s="3"/>
      <c r="B155" s="3"/>
      <c r="C155" s="101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U155" s="10"/>
      <c r="V155" s="10"/>
      <c r="W155" s="10"/>
      <c r="X155" s="10"/>
      <c r="Y155" s="10"/>
      <c r="Z155" s="10"/>
    </row>
    <row r="156" spans="1:26" ht="14.25">
      <c r="A156" s="3"/>
      <c r="B156" s="3"/>
      <c r="C156" s="101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U156" s="10"/>
      <c r="V156" s="10"/>
      <c r="W156" s="10"/>
      <c r="X156" s="10"/>
      <c r="Y156" s="10"/>
      <c r="Z156" s="10"/>
    </row>
    <row r="157" spans="1:26" ht="14.25">
      <c r="A157" s="3"/>
      <c r="B157" s="3"/>
      <c r="C157" s="101" t="s">
        <v>145</v>
      </c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U157" s="10"/>
      <c r="V157" s="10"/>
      <c r="W157" s="10"/>
      <c r="X157" s="10"/>
      <c r="Y157" s="10"/>
      <c r="Z157" s="10"/>
    </row>
    <row r="158" spans="1:34" ht="14.25">
      <c r="A158" s="3">
        <v>1</v>
      </c>
      <c r="B158" s="3">
        <v>83</v>
      </c>
      <c r="C158" s="117" t="s">
        <v>71</v>
      </c>
      <c r="D158" s="113">
        <f>U158*$E$279/100</f>
        <v>0</v>
      </c>
      <c r="E158" s="113">
        <f>V158*$E$279/100</f>
        <v>0</v>
      </c>
      <c r="F158" s="113">
        <f>D158+E158</f>
        <v>0</v>
      </c>
      <c r="G158" s="113">
        <f>E158*$G$279/100</f>
        <v>0</v>
      </c>
      <c r="H158" s="113">
        <f>E158*$H$279/100</f>
        <v>0</v>
      </c>
      <c r="I158" s="113">
        <f>F158+G158+H158</f>
        <v>0</v>
      </c>
      <c r="J158" s="113">
        <f>X158*$J$279/100</f>
        <v>95210.16530438907</v>
      </c>
      <c r="K158" s="113">
        <f>R158*$K$279/100</f>
        <v>24408.336489223526</v>
      </c>
      <c r="L158" s="113">
        <f>R158*$L$279/100</f>
        <v>37278.18663808683</v>
      </c>
      <c r="M158" s="113">
        <f>R158*$M$279/100</f>
        <v>55029.70408479486</v>
      </c>
      <c r="N158" s="113">
        <v>44.84</v>
      </c>
      <c r="O158" s="122">
        <v>277.14</v>
      </c>
      <c r="P158" s="113">
        <v>572.6785714285714</v>
      </c>
      <c r="Q158" s="113"/>
      <c r="R158" s="113">
        <f>Y158*$R$279/100</f>
        <v>124127.63959259035</v>
      </c>
      <c r="S158" s="112">
        <f>I158+J158+K158+L158+M158+N158+O158+P158</f>
        <v>212821.05108792285</v>
      </c>
      <c r="U158" s="31">
        <v>0</v>
      </c>
      <c r="V158" s="31">
        <v>0</v>
      </c>
      <c r="W158" s="31">
        <v>0</v>
      </c>
      <c r="X158" s="31">
        <v>22082.4522937699</v>
      </c>
      <c r="Y158" s="31">
        <v>185401.025737191</v>
      </c>
      <c r="Z158" s="31">
        <v>207483.478030961</v>
      </c>
      <c r="AG158" s="13">
        <v>24408.336489223526</v>
      </c>
      <c r="AH158" s="13">
        <v>277.14</v>
      </c>
    </row>
    <row r="159" spans="1:26" ht="14.25">
      <c r="A159" s="3"/>
      <c r="B159" s="3"/>
      <c r="C159" s="101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U159" s="10"/>
      <c r="V159" s="10"/>
      <c r="W159" s="10"/>
      <c r="X159" s="10"/>
      <c r="Y159" s="10"/>
      <c r="Z159" s="10"/>
    </row>
    <row r="160" spans="1:26" ht="14.25">
      <c r="A160" s="3"/>
      <c r="B160" s="3"/>
      <c r="C160" s="101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U160" s="10"/>
      <c r="V160" s="10"/>
      <c r="W160" s="10"/>
      <c r="X160" s="10"/>
      <c r="Y160" s="10"/>
      <c r="Z160" s="10"/>
    </row>
    <row r="161" spans="1:26" ht="14.25">
      <c r="A161" s="3"/>
      <c r="B161" s="3"/>
      <c r="C161" s="117" t="s">
        <v>146</v>
      </c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U161" s="10"/>
      <c r="V161" s="10"/>
      <c r="W161" s="10"/>
      <c r="X161" s="10"/>
      <c r="Y161" s="10"/>
      <c r="Z161" s="10"/>
    </row>
    <row r="162" spans="1:34" ht="14.25">
      <c r="A162" s="3"/>
      <c r="B162" s="3">
        <v>84</v>
      </c>
      <c r="C162" s="117" t="s">
        <v>71</v>
      </c>
      <c r="D162" s="113">
        <f>U162*$E$279/100</f>
        <v>0</v>
      </c>
      <c r="E162" s="113">
        <f>V162*$E$279/100</f>
        <v>13726.876603960769</v>
      </c>
      <c r="F162" s="113">
        <f>D162+E162</f>
        <v>13726.876603960769</v>
      </c>
      <c r="G162" s="113">
        <f>E162*$G$279/100</f>
        <v>1661.5924535622473</v>
      </c>
      <c r="H162" s="113">
        <f>E162*$H$279/100</f>
        <v>1556.3157560755994</v>
      </c>
      <c r="I162" s="113">
        <f>F162+G162+H162</f>
        <v>16944.784813598617</v>
      </c>
      <c r="J162" s="113">
        <f>X162*$J$279/100</f>
        <v>19574.95580796787</v>
      </c>
      <c r="K162" s="113">
        <f>R162*$K$279/100</f>
        <v>6071.24452036326</v>
      </c>
      <c r="L162" s="113">
        <f>R162*$L$279/100</f>
        <v>9272.446176554797</v>
      </c>
      <c r="M162" s="113">
        <f>R162*$M$279/100</f>
        <v>13687.896736818984</v>
      </c>
      <c r="N162" s="113">
        <v>44.84</v>
      </c>
      <c r="O162" s="122">
        <v>277.14</v>
      </c>
      <c r="P162" s="113">
        <v>572.6785714285714</v>
      </c>
      <c r="Q162" s="113"/>
      <c r="R162" s="113">
        <f>Y162*$R$279/100</f>
        <v>30875.076309885528</v>
      </c>
      <c r="S162" s="112">
        <f>I162+J162+K162+L162+M162+N162+O162+P162</f>
        <v>66445.98662673209</v>
      </c>
      <c r="U162" s="31">
        <v>0</v>
      </c>
      <c r="V162" s="31">
        <v>15421.67090041</v>
      </c>
      <c r="W162" s="31">
        <v>15421.67090041</v>
      </c>
      <c r="X162" s="31">
        <v>4540.09323899554</v>
      </c>
      <c r="Y162" s="31">
        <v>46116.0047540977</v>
      </c>
      <c r="Z162" s="31">
        <v>66077.7688935033</v>
      </c>
      <c r="AG162" s="13">
        <v>6071.24452036326</v>
      </c>
      <c r="AH162" s="13">
        <v>277.14</v>
      </c>
    </row>
    <row r="163" spans="1:34" ht="14.25">
      <c r="A163" s="3"/>
      <c r="B163" s="3">
        <v>85</v>
      </c>
      <c r="C163" s="117" t="s">
        <v>125</v>
      </c>
      <c r="D163" s="113">
        <f>U163*$E$279/100</f>
        <v>0</v>
      </c>
      <c r="E163" s="113">
        <f>V163*$E$279/100</f>
        <v>0</v>
      </c>
      <c r="F163" s="113">
        <f>D163+E163</f>
        <v>0</v>
      </c>
      <c r="G163" s="113">
        <f>E163*$G$279/100</f>
        <v>0</v>
      </c>
      <c r="H163" s="113">
        <f>E163*$H$279/100</f>
        <v>0</v>
      </c>
      <c r="I163" s="113">
        <f>F163+G163+H163</f>
        <v>0</v>
      </c>
      <c r="J163" s="113">
        <f>X163*$J$279/100</f>
        <v>522.8832764606358</v>
      </c>
      <c r="K163" s="113">
        <f>R163*$K$279/100</f>
        <v>199.81487905959992</v>
      </c>
      <c r="L163" s="113">
        <f>R163*$L$279/100</f>
        <v>305.1718152910253</v>
      </c>
      <c r="M163" s="113">
        <f>R163*$M$279/100</f>
        <v>450.49172733437075</v>
      </c>
      <c r="N163" s="113">
        <v>44.84</v>
      </c>
      <c r="O163" s="122">
        <v>277.14</v>
      </c>
      <c r="P163" s="113">
        <v>572.6785714285714</v>
      </c>
      <c r="Q163" s="113"/>
      <c r="R163" s="113">
        <f>Y163*$R$279/100</f>
        <v>1016.1507444023304</v>
      </c>
      <c r="S163" s="112">
        <f>I163+J163+K163+L163+M163+N163+O163+P163</f>
        <v>2373.020269574203</v>
      </c>
      <c r="U163" s="31">
        <v>0</v>
      </c>
      <c r="V163" s="31">
        <v>0</v>
      </c>
      <c r="W163" s="31">
        <v>0</v>
      </c>
      <c r="X163" s="31">
        <v>121.274288</v>
      </c>
      <c r="Y163" s="31">
        <v>1517.75536</v>
      </c>
      <c r="Z163" s="31">
        <v>1639.029648</v>
      </c>
      <c r="AG163" s="13">
        <v>199.81487905959992</v>
      </c>
      <c r="AH163" s="13">
        <v>277.14</v>
      </c>
    </row>
    <row r="164" spans="1:26" ht="14.25">
      <c r="A164" s="3">
        <v>2</v>
      </c>
      <c r="B164" s="3"/>
      <c r="C164" s="101" t="s">
        <v>78</v>
      </c>
      <c r="D164" s="112">
        <f>SUM(D162:D163)</f>
        <v>0</v>
      </c>
      <c r="E164" s="112">
        <f>SUM(E162:E163)</f>
        <v>13726.876603960769</v>
      </c>
      <c r="F164" s="113">
        <f>D164+E164</f>
        <v>13726.876603960769</v>
      </c>
      <c r="G164" s="112">
        <f>SUM(G162:G163)</f>
        <v>1661.5924535622473</v>
      </c>
      <c r="H164" s="112">
        <f>SUM(H162:H163)</f>
        <v>1556.3157560755994</v>
      </c>
      <c r="I164" s="113">
        <f>F164+G164+H164</f>
        <v>16944.784813598617</v>
      </c>
      <c r="J164" s="112">
        <f aca="true" t="shared" si="56" ref="J164:P164">SUM(J162:J163)</f>
        <v>20097.839084428506</v>
      </c>
      <c r="K164" s="112">
        <f t="shared" si="56"/>
        <v>6271.059399422859</v>
      </c>
      <c r="L164" s="112">
        <f t="shared" si="56"/>
        <v>9577.617991845822</v>
      </c>
      <c r="M164" s="112">
        <f t="shared" si="56"/>
        <v>14138.388464153355</v>
      </c>
      <c r="N164" s="112">
        <f t="shared" si="56"/>
        <v>89.68</v>
      </c>
      <c r="O164" s="112">
        <f t="shared" si="56"/>
        <v>554.28</v>
      </c>
      <c r="P164" s="112">
        <f t="shared" si="56"/>
        <v>1145.357142857143</v>
      </c>
      <c r="Q164" s="112"/>
      <c r="R164" s="112">
        <f>SUM(R162:R163)</f>
        <v>31891.227054287858</v>
      </c>
      <c r="S164" s="112">
        <f>SUM(S162:S163)</f>
        <v>68819.0068963063</v>
      </c>
      <c r="U164" s="10">
        <v>0</v>
      </c>
      <c r="V164" s="10">
        <v>15421.67090041</v>
      </c>
      <c r="W164" s="10">
        <v>15421.67090041</v>
      </c>
      <c r="X164" s="10">
        <v>4661.36752699554</v>
      </c>
      <c r="Y164" s="10">
        <v>47633.7601140977</v>
      </c>
      <c r="Z164" s="10">
        <v>67716.7985415032</v>
      </c>
    </row>
    <row r="165" spans="1:26" ht="14.25">
      <c r="A165" s="3"/>
      <c r="B165" s="3"/>
      <c r="C165" s="101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U165" s="10"/>
      <c r="V165" s="10"/>
      <c r="W165" s="10"/>
      <c r="X165" s="10"/>
      <c r="Y165" s="10"/>
      <c r="Z165" s="10"/>
    </row>
    <row r="166" spans="1:26" ht="14.25">
      <c r="A166" s="3"/>
      <c r="B166" s="3"/>
      <c r="C166" s="117" t="s">
        <v>147</v>
      </c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U166" s="10"/>
      <c r="V166" s="10"/>
      <c r="W166" s="10"/>
      <c r="X166" s="10"/>
      <c r="Y166" s="10"/>
      <c r="Z166" s="10"/>
    </row>
    <row r="167" spans="1:34" ht="14.25">
      <c r="A167" s="3">
        <v>1</v>
      </c>
      <c r="B167" s="3">
        <v>86</v>
      </c>
      <c r="C167" s="117" t="s">
        <v>71</v>
      </c>
      <c r="D167" s="113">
        <f>U167*$E$279/100</f>
        <v>0</v>
      </c>
      <c r="E167" s="113">
        <f>V167*$E$279/100</f>
        <v>0</v>
      </c>
      <c r="F167" s="113">
        <f>D167+E167</f>
        <v>0</v>
      </c>
      <c r="G167" s="113">
        <f>E167*$G$279/100</f>
        <v>0</v>
      </c>
      <c r="H167" s="113">
        <f>E167*$H$279/100</f>
        <v>0</v>
      </c>
      <c r="I167" s="113">
        <f>F167+G167+H167</f>
        <v>0</v>
      </c>
      <c r="J167" s="113">
        <f>X167*$J$279/100</f>
        <v>0</v>
      </c>
      <c r="K167" s="113">
        <f>R167*$K$279/100</f>
        <v>14313.353786507494</v>
      </c>
      <c r="L167" s="113">
        <f>R167*$L$279/100</f>
        <v>21860.394873938712</v>
      </c>
      <c r="M167" s="113">
        <f>R167*$M$279/100</f>
        <v>32270.10671867144</v>
      </c>
      <c r="N167" s="113">
        <v>44.84</v>
      </c>
      <c r="O167" s="122">
        <v>277.14</v>
      </c>
      <c r="P167" s="113">
        <v>572.6785714285714</v>
      </c>
      <c r="Q167" s="113"/>
      <c r="R167" s="113">
        <f>Y167*$R$279/100</f>
        <v>72790.00029179621</v>
      </c>
      <c r="S167" s="112">
        <f>I167+J167+K167+L167+M167+N167+O167+P167</f>
        <v>69338.5139505462</v>
      </c>
      <c r="U167" s="31">
        <v>0</v>
      </c>
      <c r="V167" s="31">
        <v>0</v>
      </c>
      <c r="W167" s="31">
        <v>0</v>
      </c>
      <c r="X167" s="31">
        <v>0</v>
      </c>
      <c r="Y167" s="31">
        <v>108721.480258576</v>
      </c>
      <c r="Z167" s="31">
        <v>108721.480258576</v>
      </c>
      <c r="AG167" s="13">
        <v>14313.353786507494</v>
      </c>
      <c r="AH167" s="13">
        <v>277.14</v>
      </c>
    </row>
    <row r="168" spans="1:26" ht="14.25">
      <c r="A168" s="3"/>
      <c r="B168" s="3"/>
      <c r="C168" s="101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U168" s="10"/>
      <c r="V168" s="10"/>
      <c r="W168" s="10"/>
      <c r="X168" s="10"/>
      <c r="Y168" s="10"/>
      <c r="Z168" s="10"/>
    </row>
    <row r="169" spans="1:26" ht="14.25">
      <c r="A169" s="3"/>
      <c r="B169" s="3"/>
      <c r="C169" s="117" t="s">
        <v>148</v>
      </c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U169" s="10"/>
      <c r="V169" s="10"/>
      <c r="W169" s="10"/>
      <c r="X169" s="10"/>
      <c r="Y169" s="10"/>
      <c r="Z169" s="10"/>
    </row>
    <row r="170" spans="1:34" ht="14.25">
      <c r="A170" s="3"/>
      <c r="B170" s="3">
        <v>87</v>
      </c>
      <c r="C170" s="117" t="s">
        <v>149</v>
      </c>
      <c r="D170" s="113">
        <f>U170*$E$279/100</f>
        <v>0</v>
      </c>
      <c r="E170" s="113">
        <f>V170*$E$279/100+14</f>
        <v>529.6704070427342</v>
      </c>
      <c r="F170" s="113">
        <f aca="true" t="shared" si="57" ref="F170:F178">D170+E170</f>
        <v>529.6704070427342</v>
      </c>
      <c r="G170" s="113">
        <f aca="true" t="shared" si="58" ref="G170:G177">E170*$G$279/100</f>
        <v>64.11482936792095</v>
      </c>
      <c r="H170" s="113">
        <f>E170*$H$279/100-20</f>
        <v>40.05258324896203</v>
      </c>
      <c r="I170" s="113">
        <f aca="true" t="shared" si="59" ref="I170:I177">F170+G170+H170</f>
        <v>633.8378196596171</v>
      </c>
      <c r="J170" s="113">
        <f aca="true" t="shared" si="60" ref="J170:J177">X170*$J$279/100</f>
        <v>0</v>
      </c>
      <c r="K170" s="113">
        <f aca="true" t="shared" si="61" ref="K170:K177">R170*$K$279/100</f>
        <v>1022.830685118523</v>
      </c>
      <c r="L170" s="113">
        <f aca="true" t="shared" si="62" ref="L170:L177">R170*$L$279/100</f>
        <v>1562.141409999199</v>
      </c>
      <c r="M170" s="113">
        <f aca="true" t="shared" si="63" ref="M170:M177">R170*$M$279/100</f>
        <v>2306.018271903579</v>
      </c>
      <c r="N170" s="113">
        <v>44.84</v>
      </c>
      <c r="O170" s="112">
        <v>274</v>
      </c>
      <c r="P170" s="113">
        <v>572</v>
      </c>
      <c r="Q170" s="113"/>
      <c r="R170" s="113">
        <f aca="true" t="shared" si="64" ref="R170:R177">Y170*$R$279/100</f>
        <v>5201.565403799183</v>
      </c>
      <c r="S170" s="112">
        <f aca="true" t="shared" si="65" ref="S170:S177">I170+J170+K170+L170+M170+N170+O170+P170</f>
        <v>6415.668186680918</v>
      </c>
      <c r="U170" s="31">
        <v>0</v>
      </c>
      <c r="V170" s="31">
        <v>579.33785958263</v>
      </c>
      <c r="W170" s="31">
        <v>579.33785958263</v>
      </c>
      <c r="X170" s="31">
        <v>0</v>
      </c>
      <c r="Y170" s="31">
        <v>7769.22500475085</v>
      </c>
      <c r="Z170" s="31">
        <v>8347.56286433349</v>
      </c>
      <c r="AG170" s="13">
        <v>1022.830685118523</v>
      </c>
      <c r="AH170" s="13">
        <v>277.14</v>
      </c>
    </row>
    <row r="171" spans="1:34" ht="14.25">
      <c r="A171" s="3"/>
      <c r="B171" s="3">
        <v>88</v>
      </c>
      <c r="C171" s="101" t="s">
        <v>150</v>
      </c>
      <c r="D171" s="113">
        <f>U171*$E$279/100</f>
        <v>0</v>
      </c>
      <c r="E171" s="113">
        <f aca="true" t="shared" si="66" ref="E171:E176">V171*$E$279/100</f>
        <v>0</v>
      </c>
      <c r="F171" s="113">
        <f t="shared" si="57"/>
        <v>0</v>
      </c>
      <c r="G171" s="113">
        <f t="shared" si="58"/>
        <v>0</v>
      </c>
      <c r="H171" s="113">
        <f aca="true" t="shared" si="67" ref="H171:H176">E171*$H$279/100</f>
        <v>0</v>
      </c>
      <c r="I171" s="113">
        <f t="shared" si="59"/>
        <v>0</v>
      </c>
      <c r="J171" s="113">
        <f t="shared" si="60"/>
        <v>62749.24804442422</v>
      </c>
      <c r="K171" s="113">
        <f t="shared" si="61"/>
        <v>16439.924732114818</v>
      </c>
      <c r="L171" s="113">
        <f t="shared" si="62"/>
        <v>25108.248681775356</v>
      </c>
      <c r="M171" s="113">
        <f t="shared" si="63"/>
        <v>37064.55757785886</v>
      </c>
      <c r="N171" s="113">
        <v>44.84</v>
      </c>
      <c r="O171" s="112">
        <v>274</v>
      </c>
      <c r="P171" s="113">
        <v>572</v>
      </c>
      <c r="Q171" s="113"/>
      <c r="R171" s="113">
        <f t="shared" si="64"/>
        <v>83604.59357720766</v>
      </c>
      <c r="S171" s="112">
        <f t="shared" si="65"/>
        <v>142252.81903617326</v>
      </c>
      <c r="U171" s="31">
        <v>0</v>
      </c>
      <c r="V171" s="31">
        <v>0</v>
      </c>
      <c r="W171" s="31">
        <v>0</v>
      </c>
      <c r="X171" s="31">
        <v>14553.6694740625</v>
      </c>
      <c r="Y171" s="31">
        <v>124874.503828723</v>
      </c>
      <c r="Z171" s="31">
        <v>139429.173302786</v>
      </c>
      <c r="AG171" s="13">
        <v>16439.924732114818</v>
      </c>
      <c r="AH171" s="13">
        <v>277.14</v>
      </c>
    </row>
    <row r="172" spans="1:34" ht="14.25">
      <c r="A172" s="3"/>
      <c r="B172" s="3">
        <v>89</v>
      </c>
      <c r="C172" s="101" t="s">
        <v>151</v>
      </c>
      <c r="D172" s="113">
        <f>U172*$E$279/100</f>
        <v>0</v>
      </c>
      <c r="E172" s="113">
        <f t="shared" si="66"/>
        <v>0</v>
      </c>
      <c r="F172" s="113">
        <f t="shared" si="57"/>
        <v>0</v>
      </c>
      <c r="G172" s="113">
        <f t="shared" si="58"/>
        <v>0</v>
      </c>
      <c r="H172" s="113">
        <f t="shared" si="67"/>
        <v>0</v>
      </c>
      <c r="I172" s="113">
        <f t="shared" si="59"/>
        <v>0</v>
      </c>
      <c r="J172" s="113">
        <f t="shared" si="60"/>
        <v>0</v>
      </c>
      <c r="K172" s="113">
        <f t="shared" si="61"/>
        <v>455.9233942361967</v>
      </c>
      <c r="L172" s="113">
        <f t="shared" si="62"/>
        <v>696.319365742555</v>
      </c>
      <c r="M172" s="113">
        <f t="shared" si="63"/>
        <v>1027.9000160961525</v>
      </c>
      <c r="N172" s="113">
        <v>44.84</v>
      </c>
      <c r="O172" s="112">
        <v>274</v>
      </c>
      <c r="P172" s="113">
        <v>572</v>
      </c>
      <c r="Q172" s="113"/>
      <c r="R172" s="113">
        <f t="shared" si="64"/>
        <v>2318.5805712965007</v>
      </c>
      <c r="S172" s="112">
        <f t="shared" si="65"/>
        <v>3070.982776074904</v>
      </c>
      <c r="U172" s="31">
        <v>0</v>
      </c>
      <c r="V172" s="31">
        <v>0</v>
      </c>
      <c r="W172" s="31">
        <v>0</v>
      </c>
      <c r="X172" s="31">
        <v>0</v>
      </c>
      <c r="Y172" s="31">
        <v>3463.10634427269</v>
      </c>
      <c r="Z172" s="31">
        <v>3463.10634427269</v>
      </c>
      <c r="AG172" s="13">
        <v>455.9233942361967</v>
      </c>
      <c r="AH172" s="13">
        <v>277.14</v>
      </c>
    </row>
    <row r="173" spans="1:34" ht="14.25">
      <c r="A173" s="3"/>
      <c r="B173" s="3"/>
      <c r="C173" s="101" t="s">
        <v>152</v>
      </c>
      <c r="D173" s="113">
        <f>U173*$E$279/100</f>
        <v>0</v>
      </c>
      <c r="E173" s="113">
        <f t="shared" si="66"/>
        <v>0</v>
      </c>
      <c r="F173" s="113">
        <f t="shared" si="57"/>
        <v>0</v>
      </c>
      <c r="G173" s="113">
        <f t="shared" si="58"/>
        <v>0</v>
      </c>
      <c r="H173" s="113">
        <f t="shared" si="67"/>
        <v>0</v>
      </c>
      <c r="I173" s="113">
        <f t="shared" si="59"/>
        <v>0</v>
      </c>
      <c r="J173" s="113">
        <f t="shared" si="60"/>
        <v>23397.82953046512</v>
      </c>
      <c r="K173" s="113">
        <f t="shared" si="61"/>
        <v>2297.4053309221736</v>
      </c>
      <c r="L173" s="113">
        <f t="shared" si="62"/>
        <v>3508.7645054084105</v>
      </c>
      <c r="M173" s="113">
        <f t="shared" si="63"/>
        <v>5179.604746079082</v>
      </c>
      <c r="N173" s="113">
        <v>44.84</v>
      </c>
      <c r="O173" s="112">
        <v>274</v>
      </c>
      <c r="P173" s="113">
        <v>572</v>
      </c>
      <c r="Q173" s="113"/>
      <c r="R173" s="113">
        <f t="shared" si="64"/>
        <v>11683.36486350509</v>
      </c>
      <c r="S173" s="112">
        <f t="shared" si="65"/>
        <v>35274.44411287478</v>
      </c>
      <c r="U173" s="31">
        <v>0</v>
      </c>
      <c r="V173" s="31">
        <v>0</v>
      </c>
      <c r="W173" s="31">
        <v>0</v>
      </c>
      <c r="X173" s="31">
        <v>5426.74674214055</v>
      </c>
      <c r="Y173" s="31">
        <v>17450.6486779678</v>
      </c>
      <c r="Z173" s="31">
        <v>22878.3954201084</v>
      </c>
      <c r="AG173" s="13">
        <v>2297.4053309221736</v>
      </c>
      <c r="AH173" s="13">
        <v>277.14</v>
      </c>
    </row>
    <row r="174" spans="1:34" ht="14.25">
      <c r="A174" s="3"/>
      <c r="B174" s="3">
        <v>90</v>
      </c>
      <c r="C174" s="117" t="s">
        <v>153</v>
      </c>
      <c r="D174" s="113">
        <v>239</v>
      </c>
      <c r="E174" s="113">
        <f t="shared" si="66"/>
        <v>0</v>
      </c>
      <c r="F174" s="113">
        <f t="shared" si="57"/>
        <v>239</v>
      </c>
      <c r="G174" s="113">
        <f t="shared" si="58"/>
        <v>0</v>
      </c>
      <c r="H174" s="113">
        <f t="shared" si="67"/>
        <v>0</v>
      </c>
      <c r="I174" s="113">
        <f t="shared" si="59"/>
        <v>239</v>
      </c>
      <c r="J174" s="113">
        <f t="shared" si="60"/>
        <v>18135.620822087883</v>
      </c>
      <c r="K174" s="113">
        <f t="shared" si="61"/>
        <v>7463.377021847819</v>
      </c>
      <c r="L174" s="113">
        <f t="shared" si="62"/>
        <v>11398.612178822123</v>
      </c>
      <c r="M174" s="113">
        <f t="shared" si="63"/>
        <v>16826.52274016599</v>
      </c>
      <c r="N174" s="113">
        <v>44.84</v>
      </c>
      <c r="O174" s="112">
        <v>274</v>
      </c>
      <c r="P174" s="113">
        <v>572</v>
      </c>
      <c r="Q174" s="113"/>
      <c r="R174" s="113">
        <f t="shared" si="64"/>
        <v>37954.71164208853</v>
      </c>
      <c r="S174" s="112">
        <f t="shared" si="65"/>
        <v>54953.97276292382</v>
      </c>
      <c r="U174" s="31">
        <v>0</v>
      </c>
      <c r="V174" s="31">
        <v>0</v>
      </c>
      <c r="W174" s="31">
        <v>0</v>
      </c>
      <c r="X174" s="31">
        <v>4206.26285377528</v>
      </c>
      <c r="Y174" s="31">
        <v>56690.3752709608</v>
      </c>
      <c r="Z174" s="31">
        <v>60895.6381247361</v>
      </c>
      <c r="AG174" s="13">
        <v>7463.377021847819</v>
      </c>
      <c r="AH174" s="13">
        <v>277.14</v>
      </c>
    </row>
    <row r="175" spans="1:34" ht="14.25">
      <c r="A175" s="3"/>
      <c r="B175" s="3">
        <v>91</v>
      </c>
      <c r="C175" s="117" t="s">
        <v>154</v>
      </c>
      <c r="D175" s="113">
        <f>U175*$E$279/100</f>
        <v>0</v>
      </c>
      <c r="E175" s="113">
        <f t="shared" si="66"/>
        <v>0</v>
      </c>
      <c r="F175" s="113">
        <f t="shared" si="57"/>
        <v>0</v>
      </c>
      <c r="G175" s="113">
        <f t="shared" si="58"/>
        <v>0</v>
      </c>
      <c r="H175" s="113">
        <f t="shared" si="67"/>
        <v>0</v>
      </c>
      <c r="I175" s="113">
        <f t="shared" si="59"/>
        <v>0</v>
      </c>
      <c r="J175" s="113">
        <f t="shared" si="60"/>
        <v>1065.1078895511946</v>
      </c>
      <c r="K175" s="113">
        <f t="shared" si="61"/>
        <v>1981.4685937797067</v>
      </c>
      <c r="L175" s="113">
        <f t="shared" si="62"/>
        <v>3026.242943227188</v>
      </c>
      <c r="M175" s="113">
        <f t="shared" si="63"/>
        <v>4467.311011430611</v>
      </c>
      <c r="N175" s="113">
        <v>44.84</v>
      </c>
      <c r="O175" s="112">
        <v>274</v>
      </c>
      <c r="P175" s="113">
        <v>572</v>
      </c>
      <c r="Q175" s="113"/>
      <c r="R175" s="113">
        <f t="shared" si="64"/>
        <v>10076.680956169026</v>
      </c>
      <c r="S175" s="112">
        <f t="shared" si="65"/>
        <v>11430.9704379887</v>
      </c>
      <c r="U175" s="31">
        <v>0</v>
      </c>
      <c r="V175" s="31">
        <v>0</v>
      </c>
      <c r="W175" s="31">
        <v>0</v>
      </c>
      <c r="X175" s="31">
        <v>247.034485062993</v>
      </c>
      <c r="Y175" s="31">
        <v>15050.8540356686</v>
      </c>
      <c r="Z175" s="31">
        <v>15297.8885207316</v>
      </c>
      <c r="AG175" s="13">
        <v>1981.4685937797067</v>
      </c>
      <c r="AH175" s="13">
        <v>277.14</v>
      </c>
    </row>
    <row r="176" spans="1:34" ht="14.25">
      <c r="A176" s="3"/>
      <c r="B176" s="3">
        <v>92</v>
      </c>
      <c r="C176" s="117" t="s">
        <v>155</v>
      </c>
      <c r="D176" s="113">
        <f>U176*$E$279/100</f>
        <v>0</v>
      </c>
      <c r="E176" s="113">
        <f t="shared" si="66"/>
        <v>0</v>
      </c>
      <c r="F176" s="113">
        <f t="shared" si="57"/>
        <v>0</v>
      </c>
      <c r="G176" s="113">
        <f t="shared" si="58"/>
        <v>0</v>
      </c>
      <c r="H176" s="113">
        <f t="shared" si="67"/>
        <v>0</v>
      </c>
      <c r="I176" s="113">
        <f t="shared" si="59"/>
        <v>0</v>
      </c>
      <c r="J176" s="113">
        <f t="shared" si="60"/>
        <v>0</v>
      </c>
      <c r="K176" s="113">
        <f t="shared" si="61"/>
        <v>0</v>
      </c>
      <c r="L176" s="113">
        <f t="shared" si="62"/>
        <v>0</v>
      </c>
      <c r="M176" s="113">
        <f t="shared" si="63"/>
        <v>0</v>
      </c>
      <c r="N176" s="113">
        <v>44.84</v>
      </c>
      <c r="O176" s="112">
        <v>274</v>
      </c>
      <c r="P176" s="113">
        <v>572</v>
      </c>
      <c r="Q176" s="113"/>
      <c r="R176" s="113">
        <f t="shared" si="64"/>
        <v>0</v>
      </c>
      <c r="S176" s="112">
        <f t="shared" si="65"/>
        <v>890.84</v>
      </c>
      <c r="U176" s="31">
        <v>0</v>
      </c>
      <c r="V176" s="31">
        <v>0</v>
      </c>
      <c r="W176" s="31">
        <v>0</v>
      </c>
      <c r="X176" s="31">
        <v>0</v>
      </c>
      <c r="Y176" s="31">
        <v>0</v>
      </c>
      <c r="Z176" s="31">
        <v>0</v>
      </c>
      <c r="AG176" s="13">
        <v>0</v>
      </c>
      <c r="AH176" s="13">
        <v>277.14</v>
      </c>
    </row>
    <row r="177" spans="1:34" ht="14.25">
      <c r="A177" s="3"/>
      <c r="B177" s="3">
        <v>93</v>
      </c>
      <c r="C177" s="117" t="s">
        <v>156</v>
      </c>
      <c r="D177" s="113">
        <f>U177*$E$279/100</f>
        <v>0</v>
      </c>
      <c r="E177" s="113">
        <f>V177*$E$279/100+25</f>
        <v>901.4436195745325</v>
      </c>
      <c r="F177" s="113">
        <f t="shared" si="57"/>
        <v>901.4436195745325</v>
      </c>
      <c r="G177" s="113">
        <f t="shared" si="58"/>
        <v>109.11673200039507</v>
      </c>
      <c r="H177" s="113">
        <f>E177*$H$279/100-10</f>
        <v>92.20321409116916</v>
      </c>
      <c r="I177" s="113">
        <f t="shared" si="59"/>
        <v>1102.7635656660968</v>
      </c>
      <c r="J177" s="113">
        <f t="shared" si="60"/>
        <v>0</v>
      </c>
      <c r="K177" s="113">
        <f t="shared" si="61"/>
        <v>2010.4713542273041</v>
      </c>
      <c r="L177" s="113">
        <f t="shared" si="62"/>
        <v>3070.5380682744276</v>
      </c>
      <c r="M177" s="113">
        <f t="shared" si="63"/>
        <v>4532.699053167013</v>
      </c>
      <c r="N177" s="113">
        <v>44.84</v>
      </c>
      <c r="O177" s="112">
        <v>274</v>
      </c>
      <c r="P177" s="113">
        <v>572</v>
      </c>
      <c r="Q177" s="113"/>
      <c r="R177" s="113">
        <f t="shared" si="64"/>
        <v>10224.173358923268</v>
      </c>
      <c r="S177" s="112">
        <f t="shared" si="65"/>
        <v>11607.31204133484</v>
      </c>
      <c r="U177" s="31">
        <v>0</v>
      </c>
      <c r="V177" s="31">
        <v>984.654080735496</v>
      </c>
      <c r="W177" s="31">
        <v>984.654080735496</v>
      </c>
      <c r="X177" s="31">
        <v>0</v>
      </c>
      <c r="Y177" s="31">
        <v>15271.1534214366</v>
      </c>
      <c r="Z177" s="31">
        <v>16255.8075021721</v>
      </c>
      <c r="AG177" s="13">
        <v>2010.4713542273041</v>
      </c>
      <c r="AH177" s="13">
        <v>277.14</v>
      </c>
    </row>
    <row r="178" spans="1:26" ht="14.25">
      <c r="A178" s="3">
        <v>7</v>
      </c>
      <c r="B178" s="3"/>
      <c r="C178" s="101" t="s">
        <v>78</v>
      </c>
      <c r="D178" s="112">
        <f>SUM(D170:D177)</f>
        <v>239</v>
      </c>
      <c r="E178" s="112">
        <f>SUM(E170:E177)</f>
        <v>1431.1140266172665</v>
      </c>
      <c r="F178" s="113">
        <f t="shared" si="57"/>
        <v>1670.1140266172665</v>
      </c>
      <c r="G178" s="112">
        <f aca="true" t="shared" si="68" ref="G178:P178">SUM(G170:G177)</f>
        <v>173.23156136831602</v>
      </c>
      <c r="H178" s="112">
        <f t="shared" si="68"/>
        <v>132.25579734013118</v>
      </c>
      <c r="I178" s="113">
        <f t="shared" si="68"/>
        <v>1975.601385325714</v>
      </c>
      <c r="J178" s="113">
        <f t="shared" si="68"/>
        <v>105347.80628652842</v>
      </c>
      <c r="K178" s="112">
        <f t="shared" si="68"/>
        <v>31671.401112246545</v>
      </c>
      <c r="L178" s="112">
        <f t="shared" si="68"/>
        <v>48370.86715324926</v>
      </c>
      <c r="M178" s="112">
        <f t="shared" si="68"/>
        <v>71404.61341670128</v>
      </c>
      <c r="N178" s="112">
        <f t="shared" si="68"/>
        <v>358.72</v>
      </c>
      <c r="O178" s="112">
        <f t="shared" si="68"/>
        <v>2192</v>
      </c>
      <c r="P178" s="112">
        <f t="shared" si="68"/>
        <v>4576</v>
      </c>
      <c r="Q178" s="112"/>
      <c r="R178" s="112">
        <f>SUM(R170:R177)</f>
        <v>161063.67037298923</v>
      </c>
      <c r="S178" s="112">
        <f>SUM(S170:S177)</f>
        <v>265897.0093540512</v>
      </c>
      <c r="U178" s="10">
        <v>0</v>
      </c>
      <c r="V178" s="10">
        <v>1563.99194031813</v>
      </c>
      <c r="W178" s="10">
        <v>1563.99194031813</v>
      </c>
      <c r="X178" s="10">
        <v>24433.7135550413</v>
      </c>
      <c r="Y178" s="10">
        <v>240569.866583781</v>
      </c>
      <c r="Z178" s="10">
        <v>266567.57207914</v>
      </c>
    </row>
    <row r="179" spans="1:26" ht="14.25">
      <c r="A179" s="3"/>
      <c r="B179" s="3"/>
      <c r="C179" s="101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U179" s="10"/>
      <c r="V179" s="10"/>
      <c r="W179" s="10"/>
      <c r="X179" s="10"/>
      <c r="Y179" s="10"/>
      <c r="Z179" s="10"/>
    </row>
    <row r="180" spans="1:26" ht="14.25">
      <c r="A180" s="3"/>
      <c r="B180" s="3"/>
      <c r="C180" s="101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U180" s="10"/>
      <c r="V180" s="10"/>
      <c r="W180" s="10"/>
      <c r="X180" s="10"/>
      <c r="Y180" s="10"/>
      <c r="Z180" s="10"/>
    </row>
    <row r="181" spans="1:26" ht="14.25">
      <c r="A181" s="3"/>
      <c r="B181" s="3"/>
      <c r="C181" s="117" t="s">
        <v>157</v>
      </c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U181" s="10"/>
      <c r="V181" s="10"/>
      <c r="W181" s="10"/>
      <c r="X181" s="10"/>
      <c r="Y181" s="10"/>
      <c r="Z181" s="10"/>
    </row>
    <row r="182" spans="1:34" ht="14.25">
      <c r="A182" s="3"/>
      <c r="B182" s="3">
        <v>94</v>
      </c>
      <c r="C182" s="101" t="s">
        <v>158</v>
      </c>
      <c r="D182" s="113">
        <f>U182*$E$279/100</f>
        <v>0</v>
      </c>
      <c r="E182" s="113">
        <f>V182*$E$279/100</f>
        <v>0</v>
      </c>
      <c r="F182" s="113">
        <f aca="true" t="shared" si="69" ref="F182:F187">D182+E182</f>
        <v>0</v>
      </c>
      <c r="G182" s="113">
        <f>E182*$G$279/100</f>
        <v>0</v>
      </c>
      <c r="H182" s="113">
        <f>E182*$H$279/100</f>
        <v>0</v>
      </c>
      <c r="I182" s="113">
        <f>F182+G182+H182</f>
        <v>0</v>
      </c>
      <c r="J182" s="113">
        <f>X182*$J$279/100</f>
        <v>317523.05522506987</v>
      </c>
      <c r="K182" s="113">
        <f>R182*$K$279/100</f>
        <v>47238.92281009778</v>
      </c>
      <c r="L182" s="113">
        <f>R182*$L$279/100-1430</f>
        <v>70716.71847360386</v>
      </c>
      <c r="M182" s="113">
        <f>R182*$M$279/100</f>
        <v>106502.29869912952</v>
      </c>
      <c r="N182" s="113">
        <v>44</v>
      </c>
      <c r="O182" s="112">
        <v>274</v>
      </c>
      <c r="P182" s="113">
        <v>572</v>
      </c>
      <c r="Q182" s="113"/>
      <c r="R182" s="113">
        <f>Y182*$R$279/100</f>
        <v>240231.69247535008</v>
      </c>
      <c r="S182" s="112">
        <f>I182+J182+K182+L182+M182+N182+O182+P182</f>
        <v>542870.995207901</v>
      </c>
      <c r="U182" s="31">
        <v>0</v>
      </c>
      <c r="V182" s="31">
        <v>0</v>
      </c>
      <c r="W182" s="31">
        <v>0</v>
      </c>
      <c r="X182" s="31">
        <v>73644.3183011304</v>
      </c>
      <c r="Y182" s="31">
        <v>358817.764888603</v>
      </c>
      <c r="Z182" s="31">
        <v>432462.083189733</v>
      </c>
      <c r="AG182" s="13">
        <v>47238.92281009778</v>
      </c>
      <c r="AH182" s="13">
        <v>277.14</v>
      </c>
    </row>
    <row r="183" spans="1:34" ht="14.25">
      <c r="A183" s="3"/>
      <c r="B183" s="3">
        <v>95</v>
      </c>
      <c r="C183" s="117" t="s">
        <v>159</v>
      </c>
      <c r="D183" s="113">
        <v>200</v>
      </c>
      <c r="E183" s="113">
        <f>V183*$E$279/100</f>
        <v>0</v>
      </c>
      <c r="F183" s="113">
        <f t="shared" si="69"/>
        <v>200</v>
      </c>
      <c r="G183" s="113">
        <f>E183*$G$279/100</f>
        <v>0</v>
      </c>
      <c r="H183" s="113">
        <f>E183*$H$279/100</f>
        <v>0</v>
      </c>
      <c r="I183" s="113">
        <f>F183+G183+H183</f>
        <v>200</v>
      </c>
      <c r="J183" s="113">
        <f>X183*$J$279/100</f>
        <v>0</v>
      </c>
      <c r="K183" s="113">
        <f>R183*$K$279/100</f>
        <v>3840.7388902068656</v>
      </c>
      <c r="L183" s="113">
        <f>R183*$L$279/100</f>
        <v>5865.855759588668</v>
      </c>
      <c r="M183" s="113">
        <f>R183*$M$279/100</f>
        <v>8659.120407011844</v>
      </c>
      <c r="N183" s="113">
        <v>44</v>
      </c>
      <c r="O183" s="112">
        <v>274</v>
      </c>
      <c r="P183" s="113">
        <v>572</v>
      </c>
      <c r="Q183" s="113"/>
      <c r="R183" s="113">
        <f>Y183*$R$279/100</f>
        <v>19531.92725540016</v>
      </c>
      <c r="S183" s="112">
        <f>I183+J183+K183+L183+M183+N183+O183+P183</f>
        <v>19455.715056807378</v>
      </c>
      <c r="U183" s="31">
        <v>0</v>
      </c>
      <c r="V183" s="31">
        <v>0</v>
      </c>
      <c r="W183" s="31">
        <v>0</v>
      </c>
      <c r="X183" s="31">
        <v>0</v>
      </c>
      <c r="Y183" s="31">
        <v>29173.513325968</v>
      </c>
      <c r="Z183" s="31">
        <v>29173.513325968</v>
      </c>
      <c r="AG183" s="13">
        <v>3840.7388902068656</v>
      </c>
      <c r="AH183" s="13">
        <v>277.14</v>
      </c>
    </row>
    <row r="184" spans="1:34" ht="14.25">
      <c r="A184" s="3"/>
      <c r="B184" s="3">
        <v>96</v>
      </c>
      <c r="C184" s="117" t="s">
        <v>160</v>
      </c>
      <c r="D184" s="113">
        <f>U184*$E$279/100</f>
        <v>0</v>
      </c>
      <c r="E184" s="113">
        <f>V184*$E$279/100</f>
        <v>0</v>
      </c>
      <c r="F184" s="113">
        <f t="shared" si="69"/>
        <v>0</v>
      </c>
      <c r="G184" s="113">
        <f>E184*$G$279/100</f>
        <v>0</v>
      </c>
      <c r="H184" s="113">
        <f>E184*$H$279/100</f>
        <v>0</v>
      </c>
      <c r="I184" s="113">
        <f>F184+G184+H184</f>
        <v>0</v>
      </c>
      <c r="J184" s="113">
        <f>X184*$J$279/100</f>
        <v>0</v>
      </c>
      <c r="K184" s="113">
        <f>R184*$K$279/100</f>
        <v>1640.782834388622</v>
      </c>
      <c r="L184" s="113">
        <f>R184*$L$279/100</f>
        <v>2505.9228743389863</v>
      </c>
      <c r="M184" s="113">
        <f>R184*$M$279/100</f>
        <v>3699.219481167075</v>
      </c>
      <c r="N184" s="113">
        <v>44</v>
      </c>
      <c r="O184" s="112">
        <v>274</v>
      </c>
      <c r="P184" s="113">
        <v>572</v>
      </c>
      <c r="Q184" s="113"/>
      <c r="R184" s="113">
        <f>Y184*$R$279/100</f>
        <v>8344.136865149336</v>
      </c>
      <c r="S184" s="112">
        <f>I184+J184+K184+L184+M184+N184+O184+P184</f>
        <v>8735.925189894682</v>
      </c>
      <c r="U184" s="31">
        <v>0</v>
      </c>
      <c r="V184" s="31">
        <v>0</v>
      </c>
      <c r="W184" s="31">
        <v>0</v>
      </c>
      <c r="X184" s="31">
        <v>0</v>
      </c>
      <c r="Y184" s="31">
        <v>12463.0705841807</v>
      </c>
      <c r="Z184" s="31">
        <v>12463.0705841807</v>
      </c>
      <c r="AG184" s="13">
        <v>1640.782834388622</v>
      </c>
      <c r="AH184" s="13">
        <v>277.14</v>
      </c>
    </row>
    <row r="185" spans="1:34" ht="14.25">
      <c r="A185" s="3"/>
      <c r="B185" s="3">
        <v>97</v>
      </c>
      <c r="C185" s="117" t="s">
        <v>161</v>
      </c>
      <c r="D185" s="113">
        <f>U185*$E$279/100</f>
        <v>0</v>
      </c>
      <c r="E185" s="113">
        <f>V185*$E$279/100</f>
        <v>0</v>
      </c>
      <c r="F185" s="113">
        <f t="shared" si="69"/>
        <v>0</v>
      </c>
      <c r="G185" s="113">
        <f>E185*$G$279/100</f>
        <v>0</v>
      </c>
      <c r="H185" s="113">
        <f>E185*$H$279/100</f>
        <v>0</v>
      </c>
      <c r="I185" s="113">
        <f>F185+G185+H185</f>
        <v>0</v>
      </c>
      <c r="J185" s="113">
        <f>X185*$J$279/100</f>
        <v>47382.907735169</v>
      </c>
      <c r="K185" s="113">
        <f>R185*$K$279/100</f>
        <v>8534.158937573045</v>
      </c>
      <c r="L185" s="113">
        <f>R185*$L$279/100</f>
        <v>13033.988195566104</v>
      </c>
      <c r="M185" s="113">
        <f>R185*$M$279/100</f>
        <v>19240.649241073774</v>
      </c>
      <c r="N185" s="113">
        <v>44</v>
      </c>
      <c r="O185" s="112">
        <v>274</v>
      </c>
      <c r="P185" s="113">
        <v>572</v>
      </c>
      <c r="Q185" s="113"/>
      <c r="R185" s="113">
        <f>Y185*$R$279/100</f>
        <v>43400.13115177477</v>
      </c>
      <c r="S185" s="112">
        <f>I185+J185+K185+L185+M185+N185+O185+P185</f>
        <v>89081.70410938193</v>
      </c>
      <c r="U185" s="31">
        <v>0</v>
      </c>
      <c r="V185" s="31">
        <v>0</v>
      </c>
      <c r="W185" s="31">
        <v>0</v>
      </c>
      <c r="X185" s="31">
        <v>10989.6962814509</v>
      </c>
      <c r="Y185" s="31">
        <v>64823.8285935148</v>
      </c>
      <c r="Z185" s="31">
        <v>75813.5248749657</v>
      </c>
      <c r="AG185" s="13">
        <v>8534.158937573045</v>
      </c>
      <c r="AH185" s="13">
        <v>277.14</v>
      </c>
    </row>
    <row r="186" spans="1:34" ht="14.25">
      <c r="A186" s="3"/>
      <c r="B186" s="3">
        <v>98</v>
      </c>
      <c r="C186" s="117" t="s">
        <v>162</v>
      </c>
      <c r="D186" s="113">
        <f>U186*$E$279/100</f>
        <v>0</v>
      </c>
      <c r="E186" s="113">
        <f>V186*$E$279/100</f>
        <v>0</v>
      </c>
      <c r="F186" s="113">
        <f t="shared" si="69"/>
        <v>0</v>
      </c>
      <c r="G186" s="113">
        <f>E186*$G$279/100</f>
        <v>0</v>
      </c>
      <c r="H186" s="113">
        <f>E186*$H$279/100</f>
        <v>0</v>
      </c>
      <c r="I186" s="113">
        <f>F186+G186+H186</f>
        <v>0</v>
      </c>
      <c r="J186" s="113">
        <f>X186*$J$279/100</f>
        <v>1542.9671048633543</v>
      </c>
      <c r="K186" s="113">
        <f>R186*$K$279/100</f>
        <v>6130.410151676342</v>
      </c>
      <c r="L186" s="113">
        <f>R186*$L$279/100</f>
        <v>9362.80823165114</v>
      </c>
      <c r="M186" s="113">
        <f>R186*$M$279/100</f>
        <v>13821.288341961208</v>
      </c>
      <c r="N186" s="113">
        <v>44</v>
      </c>
      <c r="O186" s="112">
        <v>274</v>
      </c>
      <c r="P186" s="113">
        <v>572</v>
      </c>
      <c r="Q186" s="113"/>
      <c r="R186" s="113">
        <f>Y186*$R$279/100</f>
        <v>31175.960811504097</v>
      </c>
      <c r="S186" s="112">
        <f>I186+J186+K186+L186+M186+N186+O186+P186</f>
        <v>31747.473830152045</v>
      </c>
      <c r="U186" s="31">
        <v>0</v>
      </c>
      <c r="V186" s="31">
        <v>0</v>
      </c>
      <c r="W186" s="31">
        <v>0</v>
      </c>
      <c r="X186" s="31">
        <v>357.86617295612</v>
      </c>
      <c r="Y186" s="31">
        <v>46565.4155010643</v>
      </c>
      <c r="Z186" s="31">
        <v>46923.2816740204</v>
      </c>
      <c r="AG186" s="13">
        <v>6130.410151676342</v>
      </c>
      <c r="AH186" s="13">
        <v>277.14</v>
      </c>
    </row>
    <row r="187" spans="1:26" ht="14.25">
      <c r="A187" s="3">
        <v>5</v>
      </c>
      <c r="B187" s="3"/>
      <c r="C187" s="101" t="s">
        <v>78</v>
      </c>
      <c r="D187" s="112">
        <f>SUM(D182:D186)</f>
        <v>200</v>
      </c>
      <c r="E187" s="112">
        <f>SUM(E182:E186)</f>
        <v>0</v>
      </c>
      <c r="F187" s="113">
        <f t="shared" si="69"/>
        <v>200</v>
      </c>
      <c r="G187" s="112">
        <f aca="true" t="shared" si="70" ref="G187:P187">SUM(G182:G186)</f>
        <v>0</v>
      </c>
      <c r="H187" s="112">
        <f t="shared" si="70"/>
        <v>0</v>
      </c>
      <c r="I187" s="113">
        <f t="shared" si="70"/>
        <v>200</v>
      </c>
      <c r="J187" s="113">
        <f t="shared" si="70"/>
        <v>366448.93006510223</v>
      </c>
      <c r="K187" s="112">
        <f t="shared" si="70"/>
        <v>67385.01362394265</v>
      </c>
      <c r="L187" s="112">
        <f t="shared" si="70"/>
        <v>101485.29353474875</v>
      </c>
      <c r="M187" s="112">
        <f t="shared" si="70"/>
        <v>151922.5761703434</v>
      </c>
      <c r="N187" s="112">
        <f t="shared" si="70"/>
        <v>220</v>
      </c>
      <c r="O187" s="112">
        <f t="shared" si="70"/>
        <v>1370</v>
      </c>
      <c r="P187" s="112">
        <f t="shared" si="70"/>
        <v>2860</v>
      </c>
      <c r="Q187" s="112"/>
      <c r="R187" s="112">
        <f>SUM(R182:R186)</f>
        <v>342683.8485591784</v>
      </c>
      <c r="S187" s="112">
        <f>SUM(S182:S186)</f>
        <v>691891.813394137</v>
      </c>
      <c r="U187" s="10">
        <v>0</v>
      </c>
      <c r="V187" s="10">
        <v>0</v>
      </c>
      <c r="W187" s="10">
        <v>0</v>
      </c>
      <c r="X187" s="10">
        <v>84991.8807555374</v>
      </c>
      <c r="Y187" s="10">
        <v>511843.592893331</v>
      </c>
      <c r="Z187" s="10">
        <v>596836.473648868</v>
      </c>
    </row>
    <row r="188" spans="1:26" ht="14.25">
      <c r="A188" s="3"/>
      <c r="B188" s="3"/>
      <c r="C188" s="101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U188" s="10"/>
      <c r="V188" s="10"/>
      <c r="W188" s="10"/>
      <c r="X188" s="10"/>
      <c r="Y188" s="10"/>
      <c r="Z188" s="10"/>
    </row>
    <row r="189" spans="1:26" ht="14.25">
      <c r="A189" s="3"/>
      <c r="B189" s="3"/>
      <c r="C189" s="117" t="s">
        <v>163</v>
      </c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U189" s="10"/>
      <c r="V189" s="10"/>
      <c r="W189" s="10"/>
      <c r="X189" s="10"/>
      <c r="Y189" s="10"/>
      <c r="Z189" s="10"/>
    </row>
    <row r="190" spans="1:34" ht="14.25">
      <c r="A190" s="3"/>
      <c r="B190" s="3">
        <v>99</v>
      </c>
      <c r="C190" s="117" t="s">
        <v>164</v>
      </c>
      <c r="D190" s="113">
        <f aca="true" t="shared" si="71" ref="D190:E193">U190*$E$279/100</f>
        <v>0</v>
      </c>
      <c r="E190" s="113">
        <f t="shared" si="71"/>
        <v>0</v>
      </c>
      <c r="F190" s="113">
        <f>D190+E190</f>
        <v>0</v>
      </c>
      <c r="G190" s="113">
        <f>E190*$G$279/100</f>
        <v>0</v>
      </c>
      <c r="H190" s="113">
        <f>E190*$H$279/100</f>
        <v>0</v>
      </c>
      <c r="I190" s="113">
        <f>F190+G190+H190</f>
        <v>0</v>
      </c>
      <c r="J190" s="113">
        <f>X190*$J$279/100</f>
        <v>20536.43157853569</v>
      </c>
      <c r="K190" s="113">
        <f>R190*$K$279/100</f>
        <v>14358.686642395443</v>
      </c>
      <c r="L190" s="113">
        <f>R190*$L$279/100</f>
        <v>21929.63050838577</v>
      </c>
      <c r="M190" s="113">
        <f>R190*$M$279/100</f>
        <v>32372.311702855182</v>
      </c>
      <c r="N190" s="113">
        <v>44.84</v>
      </c>
      <c r="O190" s="122">
        <v>277.14</v>
      </c>
      <c r="P190" s="113">
        <v>572</v>
      </c>
      <c r="Q190" s="113"/>
      <c r="R190" s="113">
        <f>Y190*$R$279/100</f>
        <v>73020.5387555644</v>
      </c>
      <c r="S190" s="112">
        <f>I190+J190+K190+L190+M190+N190+O190+P190</f>
        <v>90091.04043217207</v>
      </c>
      <c r="U190" s="31">
        <v>0</v>
      </c>
      <c r="V190" s="31">
        <v>0</v>
      </c>
      <c r="W190" s="31">
        <v>0</v>
      </c>
      <c r="X190" s="31">
        <v>4763.09193632267</v>
      </c>
      <c r="Y190" s="31">
        <v>109065.819906013</v>
      </c>
      <c r="Z190" s="31">
        <v>113828.911842335</v>
      </c>
      <c r="AG190" s="13">
        <v>14358.686642395443</v>
      </c>
      <c r="AH190" s="13">
        <v>277.14</v>
      </c>
    </row>
    <row r="191" spans="1:34" ht="14.25">
      <c r="A191" s="3"/>
      <c r="B191" s="3">
        <v>100</v>
      </c>
      <c r="C191" s="117" t="s">
        <v>165</v>
      </c>
      <c r="D191" s="113">
        <f t="shared" si="71"/>
        <v>0</v>
      </c>
      <c r="E191" s="113">
        <f t="shared" si="71"/>
        <v>0</v>
      </c>
      <c r="F191" s="113">
        <f>D191+E191</f>
        <v>0</v>
      </c>
      <c r="G191" s="113">
        <f>E191*$G$279/100</f>
        <v>0</v>
      </c>
      <c r="H191" s="113">
        <f>E191*$H$279/100</f>
        <v>0</v>
      </c>
      <c r="I191" s="113">
        <f>F191+G191+H191</f>
        <v>0</v>
      </c>
      <c r="J191" s="113">
        <f>X191*$J$279/100</f>
        <v>0</v>
      </c>
      <c r="K191" s="113">
        <f>R191*$K$279/100</f>
        <v>6283.931430312289</v>
      </c>
      <c r="L191" s="113">
        <f>R191*$L$279/100</f>
        <v>9597.27709356786</v>
      </c>
      <c r="M191" s="113">
        <f>R191*$M$279/100</f>
        <v>14167.409042885887</v>
      </c>
      <c r="N191" s="113">
        <v>44.84</v>
      </c>
      <c r="O191" s="122">
        <v>277.14</v>
      </c>
      <c r="P191" s="113">
        <v>572</v>
      </c>
      <c r="Q191" s="113"/>
      <c r="R191" s="113">
        <f>Y191*$R$279/100</f>
        <v>31956.68726341654</v>
      </c>
      <c r="S191" s="112">
        <f>I191+J191+K191+L191+M191+N191+O191+P191</f>
        <v>30942.597566766035</v>
      </c>
      <c r="U191" s="31">
        <v>0</v>
      </c>
      <c r="V191" s="31">
        <v>0</v>
      </c>
      <c r="W191" s="31">
        <v>0</v>
      </c>
      <c r="X191" s="31">
        <v>0</v>
      </c>
      <c r="Y191" s="31">
        <v>47731.5335830629</v>
      </c>
      <c r="Z191" s="31">
        <v>47731.5335830629</v>
      </c>
      <c r="AG191" s="13">
        <v>6283.931430312289</v>
      </c>
      <c r="AH191" s="13">
        <v>277.14</v>
      </c>
    </row>
    <row r="192" spans="1:34" ht="14.25">
      <c r="A192" s="3"/>
      <c r="B192" s="3">
        <v>101</v>
      </c>
      <c r="C192" s="117" t="s">
        <v>166</v>
      </c>
      <c r="D192" s="113">
        <f t="shared" si="71"/>
        <v>0</v>
      </c>
      <c r="E192" s="113">
        <f t="shared" si="71"/>
        <v>0</v>
      </c>
      <c r="F192" s="113">
        <f>D192+E192</f>
        <v>0</v>
      </c>
      <c r="G192" s="113">
        <f>E192*$G$279/100</f>
        <v>0</v>
      </c>
      <c r="H192" s="113">
        <f>E192*$H$279/100</f>
        <v>0</v>
      </c>
      <c r="I192" s="113">
        <f>F192+G192+H192</f>
        <v>0</v>
      </c>
      <c r="J192" s="113">
        <f>X192*$J$279/100</f>
        <v>0</v>
      </c>
      <c r="K192" s="113">
        <f>R192*$K$279/100</f>
        <v>2442.0324296875096</v>
      </c>
      <c r="L192" s="113">
        <f>R192*$L$279/100</f>
        <v>3729.649528977288</v>
      </c>
      <c r="M192" s="113">
        <f>R192*$M$279/100</f>
        <v>5505.673114204567</v>
      </c>
      <c r="N192" s="113">
        <v>44.84</v>
      </c>
      <c r="O192" s="122">
        <v>277.14</v>
      </c>
      <c r="P192" s="113">
        <v>572</v>
      </c>
      <c r="Q192" s="113"/>
      <c r="R192" s="113">
        <f>Y192*$R$279/100</f>
        <v>12418.860311906159</v>
      </c>
      <c r="S192" s="112">
        <f>I192+J192+K192+L192+M192+N192+O192+P192</f>
        <v>12571.335072869366</v>
      </c>
      <c r="U192" s="31">
        <v>0</v>
      </c>
      <c r="V192" s="31">
        <v>0</v>
      </c>
      <c r="W192" s="31">
        <v>0</v>
      </c>
      <c r="X192" s="31">
        <v>0</v>
      </c>
      <c r="Y192" s="31">
        <v>18549.2082816641</v>
      </c>
      <c r="Z192" s="31">
        <v>18549.2082816641</v>
      </c>
      <c r="AG192" s="13">
        <v>2442.0324296875096</v>
      </c>
      <c r="AH192" s="13">
        <v>277.14</v>
      </c>
    </row>
    <row r="193" spans="1:34" ht="14.25">
      <c r="A193" s="3"/>
      <c r="B193" s="3">
        <v>102</v>
      </c>
      <c r="C193" s="117" t="s">
        <v>167</v>
      </c>
      <c r="D193" s="113">
        <f t="shared" si="71"/>
        <v>0</v>
      </c>
      <c r="E193" s="113">
        <f t="shared" si="71"/>
        <v>0</v>
      </c>
      <c r="F193" s="113">
        <f>D193+E193</f>
        <v>0</v>
      </c>
      <c r="G193" s="113">
        <f>E193*$G$279/100</f>
        <v>0</v>
      </c>
      <c r="H193" s="113">
        <f>E193*$H$279/100</f>
        <v>0</v>
      </c>
      <c r="I193" s="113">
        <f>F193+G193+H193</f>
        <v>0</v>
      </c>
      <c r="J193" s="113">
        <f>X193*$J$279/100</f>
        <v>0</v>
      </c>
      <c r="K193" s="113">
        <f>R193*$K$279/100</f>
        <v>1795.0775199698196</v>
      </c>
      <c r="L193" s="113">
        <f>R193*$L$279/100</f>
        <v>2741.57293959027</v>
      </c>
      <c r="M193" s="113">
        <f>R193*$M$279/100</f>
        <v>4047.0838632046843</v>
      </c>
      <c r="N193" s="113">
        <v>44.84</v>
      </c>
      <c r="O193" s="122">
        <v>277.14</v>
      </c>
      <c r="P193" s="113">
        <v>572</v>
      </c>
      <c r="Q193" s="113"/>
      <c r="R193" s="113">
        <f>Y193*$R$279/100</f>
        <v>9128.796447801797</v>
      </c>
      <c r="S193" s="112">
        <f>I193+J193+K193+L193+M193+N193+O193+P193</f>
        <v>9477.714322764772</v>
      </c>
      <c r="U193" s="31">
        <v>0</v>
      </c>
      <c r="V193" s="31">
        <v>0</v>
      </c>
      <c r="W193" s="31">
        <v>0</v>
      </c>
      <c r="X193" s="31">
        <v>0</v>
      </c>
      <c r="Y193" s="31">
        <v>13635.0633164663</v>
      </c>
      <c r="Z193" s="31">
        <v>13635.0633164663</v>
      </c>
      <c r="AG193" s="13">
        <v>1795.0775199698196</v>
      </c>
      <c r="AH193" s="13">
        <v>277.14</v>
      </c>
    </row>
    <row r="194" spans="1:26" ht="14.25">
      <c r="A194" s="3">
        <v>4</v>
      </c>
      <c r="B194" s="3"/>
      <c r="C194" s="101" t="s">
        <v>78</v>
      </c>
      <c r="D194" s="112">
        <f>SUM(D190:D193)</f>
        <v>0</v>
      </c>
      <c r="E194" s="112">
        <f>SUM(E190:E193)</f>
        <v>0</v>
      </c>
      <c r="F194" s="113">
        <f>D194+E194</f>
        <v>0</v>
      </c>
      <c r="G194" s="112">
        <f aca="true" t="shared" si="72" ref="G194:P194">SUM(G190:G193)</f>
        <v>0</v>
      </c>
      <c r="H194" s="112">
        <f t="shared" si="72"/>
        <v>0</v>
      </c>
      <c r="I194" s="113">
        <f t="shared" si="72"/>
        <v>0</v>
      </c>
      <c r="J194" s="113">
        <f t="shared" si="72"/>
        <v>20536.43157853569</v>
      </c>
      <c r="K194" s="112">
        <f t="shared" si="72"/>
        <v>24879.728022365063</v>
      </c>
      <c r="L194" s="112">
        <f t="shared" si="72"/>
        <v>37998.13007052119</v>
      </c>
      <c r="M194" s="112">
        <f t="shared" si="72"/>
        <v>56092.477723150325</v>
      </c>
      <c r="N194" s="112">
        <f t="shared" si="72"/>
        <v>179.36</v>
      </c>
      <c r="O194" s="112">
        <f t="shared" si="72"/>
        <v>1108.56</v>
      </c>
      <c r="P194" s="112">
        <f t="shared" si="72"/>
        <v>2288</v>
      </c>
      <c r="Q194" s="112"/>
      <c r="R194" s="112">
        <f>SUM(R190:R193)</f>
        <v>126524.88277868889</v>
      </c>
      <c r="S194" s="112">
        <f>SUM(S190:S193)</f>
        <v>143082.68739457225</v>
      </c>
      <c r="U194" s="10">
        <v>0</v>
      </c>
      <c r="V194" s="10">
        <v>0</v>
      </c>
      <c r="W194" s="10">
        <v>0</v>
      </c>
      <c r="X194" s="10">
        <v>4763.09193632267</v>
      </c>
      <c r="Y194" s="10">
        <v>188981.625087206</v>
      </c>
      <c r="Z194" s="10">
        <v>193744.717023529</v>
      </c>
    </row>
    <row r="195" spans="1:26" ht="14.25">
      <c r="A195" s="3"/>
      <c r="B195" s="3"/>
      <c r="C195" s="101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U195" s="10"/>
      <c r="V195" s="10"/>
      <c r="W195" s="10"/>
      <c r="X195" s="10"/>
      <c r="Y195" s="10"/>
      <c r="Z195" s="10"/>
    </row>
    <row r="196" spans="1:26" ht="14.25">
      <c r="A196" s="3"/>
      <c r="B196" s="3"/>
      <c r="C196" s="101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U196" s="10"/>
      <c r="V196" s="10"/>
      <c r="W196" s="10"/>
      <c r="X196" s="10"/>
      <c r="Y196" s="10"/>
      <c r="Z196" s="10"/>
    </row>
    <row r="197" spans="1:26" ht="14.25">
      <c r="A197" s="3"/>
      <c r="B197" s="3"/>
      <c r="C197" s="117" t="s">
        <v>168</v>
      </c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U197" s="10"/>
      <c r="V197" s="10"/>
      <c r="W197" s="10"/>
      <c r="X197" s="10"/>
      <c r="Y197" s="10"/>
      <c r="Z197" s="10"/>
    </row>
    <row r="198" spans="1:34" ht="14.25">
      <c r="A198" s="3"/>
      <c r="B198" s="3">
        <v>103</v>
      </c>
      <c r="C198" s="117" t="s">
        <v>169</v>
      </c>
      <c r="D198" s="113">
        <f>U198*$E$279/100</f>
        <v>0</v>
      </c>
      <c r="E198" s="113">
        <f>V198*$E$279/100</f>
        <v>0</v>
      </c>
      <c r="F198" s="113">
        <f>D198+E198</f>
        <v>0</v>
      </c>
      <c r="G198" s="113">
        <f>E198*$G$279/100</f>
        <v>0</v>
      </c>
      <c r="H198" s="113">
        <f>E198*$H$279/100</f>
        <v>0</v>
      </c>
      <c r="I198" s="113">
        <f>F198+G198+H198</f>
        <v>0</v>
      </c>
      <c r="J198" s="113">
        <f>X198*$J$279/100</f>
        <v>26587.395859175194</v>
      </c>
      <c r="K198" s="113">
        <f>R198*$K$279/100-342</f>
        <v>26133.653253928132</v>
      </c>
      <c r="L198" s="113">
        <f>R198*$L$279/100</f>
        <v>40435.54315145388</v>
      </c>
      <c r="M198" s="113">
        <f>R198*$M$279/100</f>
        <v>59690.563699765255</v>
      </c>
      <c r="N198" s="113">
        <v>44.84</v>
      </c>
      <c r="O198" s="122">
        <v>277.14</v>
      </c>
      <c r="P198" s="113">
        <v>550</v>
      </c>
      <c r="Q198" s="113"/>
      <c r="R198" s="113">
        <f>Y198*$R$279/100</f>
        <v>134640.898060912</v>
      </c>
      <c r="S198" s="112">
        <f>I198+J198+K198+L198+M198+N198+O198+P198</f>
        <v>153719.13596432246</v>
      </c>
      <c r="U198" s="31">
        <v>0</v>
      </c>
      <c r="V198" s="31">
        <v>0</v>
      </c>
      <c r="W198" s="31">
        <v>0</v>
      </c>
      <c r="X198" s="31">
        <v>6166.51487578865</v>
      </c>
      <c r="Y198" s="31">
        <v>201103.965954733</v>
      </c>
      <c r="Z198" s="31">
        <v>207271.480830521</v>
      </c>
      <c r="AG198" s="13">
        <v>26133.653253928132</v>
      </c>
      <c r="AH198" s="13">
        <v>277.14</v>
      </c>
    </row>
    <row r="199" spans="1:34" ht="14.25">
      <c r="A199" s="3"/>
      <c r="B199" s="3">
        <v>104</v>
      </c>
      <c r="C199" s="101" t="s">
        <v>170</v>
      </c>
      <c r="D199" s="113">
        <f>U199*$E$279/100+200</f>
        <v>4650.642581529097</v>
      </c>
      <c r="E199" s="113">
        <f>V199*$E$279/100</f>
        <v>0</v>
      </c>
      <c r="F199" s="113">
        <f>D199+E199</f>
        <v>4650.642581529097</v>
      </c>
      <c r="G199" s="113">
        <f>E199*$G$279/100</f>
        <v>0</v>
      </c>
      <c r="H199" s="113">
        <f>E199*$H$279/100</f>
        <v>0</v>
      </c>
      <c r="I199" s="113">
        <f>F199+G199+H199</f>
        <v>4650.642581529097</v>
      </c>
      <c r="J199" s="113">
        <f>X199*$J$279/100</f>
        <v>7903.767732069592</v>
      </c>
      <c r="K199" s="113">
        <f>R199*$K$279/100</f>
        <v>3014.357768888365</v>
      </c>
      <c r="L199" s="113">
        <f>R199*$L$279/100</f>
        <v>4603.746410665866</v>
      </c>
      <c r="M199" s="113">
        <f>R199*$M$279/100</f>
        <v>6796.006606221042</v>
      </c>
      <c r="N199" s="113">
        <v>44.84</v>
      </c>
      <c r="O199" s="122">
        <v>277.14</v>
      </c>
      <c r="P199" s="113">
        <v>550</v>
      </c>
      <c r="Q199" s="113"/>
      <c r="R199" s="113">
        <f>Y199*$R$279/100</f>
        <v>15329.39841700792</v>
      </c>
      <c r="S199" s="112">
        <f>I199+J199+K199+L199+M199+N199+O199+P199</f>
        <v>27840.501099373963</v>
      </c>
      <c r="U199" s="31">
        <v>5000.14294350752</v>
      </c>
      <c r="V199" s="31">
        <v>0</v>
      </c>
      <c r="W199" s="31">
        <v>5000.14294350752</v>
      </c>
      <c r="X199" s="31">
        <v>1833.15062342843</v>
      </c>
      <c r="Y199" s="31">
        <v>22896.4813942776</v>
      </c>
      <c r="Z199" s="31">
        <v>29728.7749612136</v>
      </c>
      <c r="AG199" s="13">
        <v>3014.357768888365</v>
      </c>
      <c r="AH199" s="13">
        <v>277.14</v>
      </c>
    </row>
    <row r="200" spans="1:26" ht="14.25">
      <c r="A200" s="3">
        <v>2</v>
      </c>
      <c r="B200" s="3"/>
      <c r="C200" s="101" t="s">
        <v>78</v>
      </c>
      <c r="D200" s="112">
        <f>SUM(D198:D199)</f>
        <v>4650.642581529097</v>
      </c>
      <c r="E200" s="112">
        <f>SUM(E198:E199)</f>
        <v>0</v>
      </c>
      <c r="F200" s="113">
        <f>D200+E200</f>
        <v>4650.642581529097</v>
      </c>
      <c r="G200" s="112">
        <f aca="true" t="shared" si="73" ref="G200:P200">SUM(G198:G199)</f>
        <v>0</v>
      </c>
      <c r="H200" s="112">
        <f t="shared" si="73"/>
        <v>0</v>
      </c>
      <c r="I200" s="113">
        <f t="shared" si="73"/>
        <v>4650.642581529097</v>
      </c>
      <c r="J200" s="113">
        <f t="shared" si="73"/>
        <v>34491.16359124479</v>
      </c>
      <c r="K200" s="112">
        <f t="shared" si="73"/>
        <v>29148.0110228165</v>
      </c>
      <c r="L200" s="112">
        <f t="shared" si="73"/>
        <v>45039.289562119746</v>
      </c>
      <c r="M200" s="112">
        <f t="shared" si="73"/>
        <v>66486.5703059863</v>
      </c>
      <c r="N200" s="112">
        <f t="shared" si="73"/>
        <v>89.68</v>
      </c>
      <c r="O200" s="112">
        <f t="shared" si="73"/>
        <v>554.28</v>
      </c>
      <c r="P200" s="112">
        <f t="shared" si="73"/>
        <v>1100</v>
      </c>
      <c r="Q200" s="112"/>
      <c r="R200" s="112">
        <f>SUM(R198:R199)</f>
        <v>149970.2964779199</v>
      </c>
      <c r="S200" s="112">
        <f>SUM(S198:S199)</f>
        <v>181559.63706369643</v>
      </c>
      <c r="U200" s="10">
        <v>5000.14294350752</v>
      </c>
      <c r="V200" s="10">
        <v>0</v>
      </c>
      <c r="W200" s="10">
        <v>5000.14294350752</v>
      </c>
      <c r="X200" s="10">
        <v>7999.66549921708</v>
      </c>
      <c r="Y200" s="10">
        <v>224000.44734901</v>
      </c>
      <c r="Z200" s="10">
        <v>237000.255791735</v>
      </c>
    </row>
    <row r="201" spans="1:26" ht="14.25">
      <c r="A201" s="3"/>
      <c r="B201" s="3"/>
      <c r="C201" s="101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U201" s="10"/>
      <c r="V201" s="10"/>
      <c r="W201" s="10"/>
      <c r="X201" s="10"/>
      <c r="Y201" s="10"/>
      <c r="Z201" s="10"/>
    </row>
    <row r="202" spans="1:26" ht="14.25">
      <c r="A202" s="3"/>
      <c r="B202" s="3"/>
      <c r="C202" s="101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U202" s="10"/>
      <c r="V202" s="10"/>
      <c r="W202" s="10"/>
      <c r="X202" s="10"/>
      <c r="Y202" s="10"/>
      <c r="Z202" s="10"/>
    </row>
    <row r="203" spans="1:26" ht="14.25">
      <c r="A203" s="3"/>
      <c r="B203" s="3"/>
      <c r="C203" s="117" t="s">
        <v>171</v>
      </c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U203" s="10"/>
      <c r="V203" s="10"/>
      <c r="W203" s="10"/>
      <c r="X203" s="10"/>
      <c r="Y203" s="10"/>
      <c r="Z203" s="10"/>
    </row>
    <row r="204" spans="1:34" ht="14.25">
      <c r="A204" s="3"/>
      <c r="B204" s="3">
        <v>105</v>
      </c>
      <c r="C204" s="117" t="s">
        <v>172</v>
      </c>
      <c r="D204" s="113">
        <f>U204*$E$279/100</f>
        <v>0</v>
      </c>
      <c r="E204" s="113">
        <f>V204*$E$279/100</f>
        <v>0</v>
      </c>
      <c r="F204" s="113">
        <f>D204+E204</f>
        <v>0</v>
      </c>
      <c r="G204" s="113">
        <f>E204*$G$279/100</f>
        <v>0</v>
      </c>
      <c r="H204" s="113">
        <f>E204*$H$279/100</f>
        <v>0</v>
      </c>
      <c r="I204" s="113">
        <f>F204+G204+H204</f>
        <v>0</v>
      </c>
      <c r="J204" s="113">
        <f>X204*$J$279/100</f>
        <v>21267.61375136276</v>
      </c>
      <c r="K204" s="113">
        <f>R204*$K$279/100</f>
        <v>10768.531602455767</v>
      </c>
      <c r="L204" s="113">
        <f>R204*$L$279/100</f>
        <v>16446.48462920517</v>
      </c>
      <c r="M204" s="113">
        <f>R204*$M$279/100</f>
        <v>24278.14397644573</v>
      </c>
      <c r="N204" s="113">
        <v>44.84</v>
      </c>
      <c r="O204" s="122">
        <v>277.14</v>
      </c>
      <c r="P204" s="113">
        <v>572.6785714285714</v>
      </c>
      <c r="Q204" s="113"/>
      <c r="R204" s="113">
        <f>Y204*$R$279/100</f>
        <v>54762.94585996061</v>
      </c>
      <c r="S204" s="112">
        <f>I204+J204+K204+L204+M204+N204+O204+P204</f>
        <v>73655.43253089799</v>
      </c>
      <c r="U204" s="31">
        <v>0</v>
      </c>
      <c r="V204" s="31">
        <v>0</v>
      </c>
      <c r="W204" s="31">
        <v>0</v>
      </c>
      <c r="X204" s="31">
        <v>4932.67777201457</v>
      </c>
      <c r="Y204" s="31">
        <v>81795.6932730801</v>
      </c>
      <c r="Z204" s="31">
        <v>86729.3710450946</v>
      </c>
      <c r="AG204" s="13">
        <v>10768.531602455767</v>
      </c>
      <c r="AH204" s="13">
        <v>277.14</v>
      </c>
    </row>
    <row r="205" spans="1:34" ht="14.25">
      <c r="A205" s="3"/>
      <c r="B205" s="3">
        <v>106</v>
      </c>
      <c r="C205" s="117" t="s">
        <v>173</v>
      </c>
      <c r="D205" s="113">
        <f>U205*$E$279/100</f>
        <v>0</v>
      </c>
      <c r="E205" s="113">
        <f>V205*$E$279/100</f>
        <v>0</v>
      </c>
      <c r="F205" s="113">
        <f>D205+E205</f>
        <v>0</v>
      </c>
      <c r="G205" s="113">
        <f>E205*$G$279/100</f>
        <v>0</v>
      </c>
      <c r="H205" s="113">
        <f>E205*$H$279/100</f>
        <v>0</v>
      </c>
      <c r="I205" s="113">
        <f>F205+G205+H205</f>
        <v>0</v>
      </c>
      <c r="J205" s="113">
        <f>X205*$J$279/100</f>
        <v>44268.18682572488</v>
      </c>
      <c r="K205" s="113">
        <f>R205*$K$279/100</f>
        <v>10293.273034587832</v>
      </c>
      <c r="L205" s="113">
        <f>R205*$L$279/100</f>
        <v>15720.635180097779</v>
      </c>
      <c r="M205" s="113">
        <f>R205*$M$279/100</f>
        <v>23206.651932525296</v>
      </c>
      <c r="N205" s="113">
        <v>44.84</v>
      </c>
      <c r="O205" s="122">
        <v>277.14</v>
      </c>
      <c r="P205" s="113">
        <v>572.6785714285714</v>
      </c>
      <c r="Q205" s="113"/>
      <c r="R205" s="113">
        <f>Y205*$R$279/100</f>
        <v>52346.037020161246</v>
      </c>
      <c r="S205" s="112">
        <f>I205+J205+K205+L205+M205+N205+O205+P205</f>
        <v>94383.40554436436</v>
      </c>
      <c r="U205" s="31">
        <v>0</v>
      </c>
      <c r="V205" s="31">
        <v>0</v>
      </c>
      <c r="W205" s="31">
        <v>0</v>
      </c>
      <c r="X205" s="31">
        <v>10267.2873278343</v>
      </c>
      <c r="Y205" s="31">
        <v>78185.7206716287</v>
      </c>
      <c r="Z205" s="31">
        <v>88453.0079994631</v>
      </c>
      <c r="AG205" s="13">
        <v>10293.273034587832</v>
      </c>
      <c r="AH205" s="13">
        <v>277.14</v>
      </c>
    </row>
    <row r="206" spans="1:26" ht="14.25">
      <c r="A206" s="3">
        <v>2</v>
      </c>
      <c r="B206" s="3"/>
      <c r="C206" s="101" t="s">
        <v>78</v>
      </c>
      <c r="D206" s="112">
        <f>SUM(D204:D205)</f>
        <v>0</v>
      </c>
      <c r="E206" s="112">
        <f>SUM(E204:E205)</f>
        <v>0</v>
      </c>
      <c r="F206" s="113">
        <f>D206+E206</f>
        <v>0</v>
      </c>
      <c r="G206" s="112">
        <f aca="true" t="shared" si="74" ref="G206:P206">SUM(G204:G205)</f>
        <v>0</v>
      </c>
      <c r="H206" s="112">
        <f t="shared" si="74"/>
        <v>0</v>
      </c>
      <c r="I206" s="113">
        <f t="shared" si="74"/>
        <v>0</v>
      </c>
      <c r="J206" s="113">
        <f t="shared" si="74"/>
        <v>65535.80057708763</v>
      </c>
      <c r="K206" s="112">
        <f t="shared" si="74"/>
        <v>21061.8046370436</v>
      </c>
      <c r="L206" s="112">
        <f t="shared" si="74"/>
        <v>32167.11980930295</v>
      </c>
      <c r="M206" s="112">
        <f t="shared" si="74"/>
        <v>47484.79590897102</v>
      </c>
      <c r="N206" s="112">
        <f t="shared" si="74"/>
        <v>89.68</v>
      </c>
      <c r="O206" s="112">
        <f t="shared" si="74"/>
        <v>554.28</v>
      </c>
      <c r="P206" s="112">
        <f t="shared" si="74"/>
        <v>1145.357142857143</v>
      </c>
      <c r="Q206" s="112"/>
      <c r="R206" s="112">
        <f>SUM(R204:R205)</f>
        <v>107108.98288012185</v>
      </c>
      <c r="S206" s="112">
        <f>SUM(S204:S205)</f>
        <v>168038.83807526235</v>
      </c>
      <c r="U206" s="10">
        <v>0</v>
      </c>
      <c r="V206" s="10">
        <v>0</v>
      </c>
      <c r="W206" s="10">
        <v>0</v>
      </c>
      <c r="X206" s="10">
        <v>15199.9650998489</v>
      </c>
      <c r="Y206" s="10">
        <v>159982.413944709</v>
      </c>
      <c r="Z206" s="10">
        <v>175182.379044558</v>
      </c>
    </row>
    <row r="207" spans="1:26" ht="14.25">
      <c r="A207" s="3"/>
      <c r="B207" s="3"/>
      <c r="C207" s="101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U207" s="10"/>
      <c r="V207" s="10"/>
      <c r="W207" s="10"/>
      <c r="X207" s="10"/>
      <c r="Y207" s="10"/>
      <c r="Z207" s="10"/>
    </row>
    <row r="208" spans="1:26" ht="14.25">
      <c r="A208" s="3"/>
      <c r="B208" s="3"/>
      <c r="C208" s="101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U208" s="10"/>
      <c r="V208" s="10"/>
      <c r="W208" s="10"/>
      <c r="X208" s="10"/>
      <c r="Y208" s="10"/>
      <c r="Z208" s="10"/>
    </row>
    <row r="209" spans="1:26" ht="14.25">
      <c r="A209" s="3"/>
      <c r="B209" s="3"/>
      <c r="C209" s="117" t="s">
        <v>174</v>
      </c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U209" s="10"/>
      <c r="V209" s="10"/>
      <c r="W209" s="10"/>
      <c r="X209" s="10"/>
      <c r="Y209" s="10"/>
      <c r="Z209" s="10"/>
    </row>
    <row r="210" spans="1:34" ht="14.25">
      <c r="A210" s="3"/>
      <c r="B210" s="3">
        <v>107</v>
      </c>
      <c r="C210" s="117" t="s">
        <v>71</v>
      </c>
      <c r="D210" s="113">
        <f>U210*$E$279/100</f>
        <v>0</v>
      </c>
      <c r="E210" s="113">
        <f>V210*$E$279/100</f>
        <v>0</v>
      </c>
      <c r="F210" s="113">
        <f>D210+E210</f>
        <v>0</v>
      </c>
      <c r="G210" s="113">
        <f>E210*$G$279/100</f>
        <v>0</v>
      </c>
      <c r="H210" s="113">
        <f>E210*$H$279/100</f>
        <v>0</v>
      </c>
      <c r="I210" s="113">
        <f>F210+G210+H210</f>
        <v>0</v>
      </c>
      <c r="J210" s="113">
        <f>X210*$J$279/100</f>
        <v>3310.4704675239796</v>
      </c>
      <c r="K210" s="113">
        <f>R210*$K$279/100</f>
        <v>14539.799345132431</v>
      </c>
      <c r="L210" s="113">
        <f>R210*$L$279/100-206</f>
        <v>22000.238999838624</v>
      </c>
      <c r="M210" s="113">
        <f>R210*$M$279/100</f>
        <v>32780.6385235713</v>
      </c>
      <c r="N210" s="113">
        <v>44</v>
      </c>
      <c r="O210" s="122">
        <v>277.14</v>
      </c>
      <c r="P210" s="113">
        <f>550+5</f>
        <v>555</v>
      </c>
      <c r="Q210" s="113"/>
      <c r="R210" s="113">
        <f>Y210*$R$279/100</f>
        <v>73941.58031449662</v>
      </c>
      <c r="S210" s="112">
        <f>I210+J210+K210+L210+M210+N210+O210+P210</f>
        <v>73507.28733606634</v>
      </c>
      <c r="U210" s="31">
        <v>0</v>
      </c>
      <c r="V210" s="31">
        <v>0</v>
      </c>
      <c r="W210" s="31">
        <v>0</v>
      </c>
      <c r="X210" s="31">
        <v>767.809886006599</v>
      </c>
      <c r="Y210" s="31">
        <v>110441.517134552</v>
      </c>
      <c r="Z210" s="31">
        <v>111210.327020558</v>
      </c>
      <c r="AG210" s="13">
        <v>14539.799345132431</v>
      </c>
      <c r="AH210" s="13">
        <v>277.14</v>
      </c>
    </row>
    <row r="211" spans="1:26" ht="14.25">
      <c r="A211" s="3">
        <v>1</v>
      </c>
      <c r="B211" s="3"/>
      <c r="C211" s="101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U211" s="10"/>
      <c r="V211" s="10"/>
      <c r="W211" s="10"/>
      <c r="X211" s="10"/>
      <c r="Y211" s="10"/>
      <c r="Z211" s="10"/>
    </row>
    <row r="212" spans="1:26" ht="14.25">
      <c r="A212" s="3"/>
      <c r="B212" s="3"/>
      <c r="C212" s="101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U212" s="10"/>
      <c r="V212" s="10"/>
      <c r="W212" s="10"/>
      <c r="X212" s="10"/>
      <c r="Y212" s="10"/>
      <c r="Z212" s="10"/>
    </row>
    <row r="213" spans="1:26" ht="14.25">
      <c r="A213" s="3"/>
      <c r="B213" s="3"/>
      <c r="C213" s="101" t="s">
        <v>175</v>
      </c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U213" s="10"/>
      <c r="V213" s="10"/>
      <c r="W213" s="10"/>
      <c r="X213" s="10"/>
      <c r="Y213" s="10"/>
      <c r="Z213" s="10"/>
    </row>
    <row r="214" spans="1:34" ht="14.25">
      <c r="A214" s="3"/>
      <c r="B214" s="3">
        <v>108</v>
      </c>
      <c r="C214" s="117" t="s">
        <v>71</v>
      </c>
      <c r="D214" s="113">
        <v>100</v>
      </c>
      <c r="E214" s="113">
        <f>V214*$E$279/100+25</f>
        <v>868.1113118949635</v>
      </c>
      <c r="F214" s="113">
        <f aca="true" t="shared" si="75" ref="F214:F224">D214+E214</f>
        <v>968.1113118949635</v>
      </c>
      <c r="G214" s="113">
        <f aca="true" t="shared" si="76" ref="G214:G223">E214*$G$279/100</f>
        <v>105.0819677566336</v>
      </c>
      <c r="H214" s="113">
        <f>E214*$H$279/100+11</f>
        <v>109.42408813813883</v>
      </c>
      <c r="I214" s="113">
        <f aca="true" t="shared" si="77" ref="I214:I223">F214+G214+H214</f>
        <v>1182.617367789736</v>
      </c>
      <c r="J214" s="113">
        <f aca="true" t="shared" si="78" ref="J214:J223">X214*$J$279/100</f>
        <v>31211.21172443051</v>
      </c>
      <c r="K214" s="113">
        <f>R214*$K$279/100-500</f>
        <v>2538.4549470660627</v>
      </c>
      <c r="L214" s="113">
        <f aca="true" t="shared" si="79" ref="L214:L223">R214*$L$279/100</f>
        <v>4640.549373700896</v>
      </c>
      <c r="M214" s="113">
        <f aca="true" t="shared" si="80" ref="M214:M223">R214*$M$279/100</f>
        <v>6850.334789748941</v>
      </c>
      <c r="N214" s="113">
        <v>44</v>
      </c>
      <c r="O214" s="112">
        <v>274</v>
      </c>
      <c r="P214" s="113">
        <v>572</v>
      </c>
      <c r="Q214" s="113"/>
      <c r="R214" s="113">
        <f aca="true" t="shared" si="81" ref="R214:R223">Y214*$R$279/100</f>
        <v>15451.943673189564</v>
      </c>
      <c r="S214" s="112">
        <f aca="true" t="shared" si="82" ref="S214:S223">I214+J214+K214+L214+M214+N214+O214+P214</f>
        <v>47313.168202736146</v>
      </c>
      <c r="U214" s="31">
        <v>0</v>
      </c>
      <c r="V214" s="31">
        <v>947.20638638985</v>
      </c>
      <c r="W214" s="31">
        <v>947.20638638985</v>
      </c>
      <c r="X214" s="31">
        <v>7238.93390723602</v>
      </c>
      <c r="Y214" s="31">
        <v>23079.5189213737</v>
      </c>
      <c r="Z214" s="31">
        <v>31265.6592149995</v>
      </c>
      <c r="AG214" s="13">
        <v>2538.4549470660627</v>
      </c>
      <c r="AH214" s="13">
        <v>277.14</v>
      </c>
    </row>
    <row r="215" spans="1:34" ht="14.25">
      <c r="A215" s="3"/>
      <c r="B215" s="3">
        <v>109</v>
      </c>
      <c r="C215" s="117" t="s">
        <v>73</v>
      </c>
      <c r="D215" s="113">
        <f aca="true" t="shared" si="83" ref="D215:D223">U215*$E$279/100</f>
        <v>0</v>
      </c>
      <c r="E215" s="113">
        <f aca="true" t="shared" si="84" ref="E215:E223">V215*$E$279/100</f>
        <v>0</v>
      </c>
      <c r="F215" s="113">
        <f t="shared" si="75"/>
        <v>0</v>
      </c>
      <c r="G215" s="113">
        <f t="shared" si="76"/>
        <v>0</v>
      </c>
      <c r="H215" s="113">
        <f aca="true" t="shared" si="85" ref="H215:H223">E215*$H$279/100</f>
        <v>0</v>
      </c>
      <c r="I215" s="113">
        <f t="shared" si="77"/>
        <v>0</v>
      </c>
      <c r="J215" s="113">
        <f t="shared" si="78"/>
        <v>575.7339943519958</v>
      </c>
      <c r="K215" s="113">
        <f aca="true" t="shared" si="86" ref="K215:K223">R215*$K$279/100</f>
        <v>734.7365980057443</v>
      </c>
      <c r="L215" s="113">
        <f t="shared" si="79"/>
        <v>1122.1431678633185</v>
      </c>
      <c r="M215" s="113">
        <f t="shared" si="80"/>
        <v>1656.4970573220417</v>
      </c>
      <c r="N215" s="113">
        <v>44</v>
      </c>
      <c r="O215" s="112">
        <v>274</v>
      </c>
      <c r="P215" s="113">
        <v>572</v>
      </c>
      <c r="Q215" s="113"/>
      <c r="R215" s="113">
        <f t="shared" si="81"/>
        <v>3736.4742031071632</v>
      </c>
      <c r="S215" s="112">
        <f t="shared" si="82"/>
        <v>4979.1108175431</v>
      </c>
      <c r="U215" s="31">
        <v>0</v>
      </c>
      <c r="V215" s="31">
        <v>0</v>
      </c>
      <c r="W215" s="31">
        <v>0</v>
      </c>
      <c r="X215" s="31">
        <v>133.532154088104</v>
      </c>
      <c r="Y215" s="31">
        <v>5580.91777278889</v>
      </c>
      <c r="Z215" s="31">
        <v>5715.44992687699</v>
      </c>
      <c r="AG215" s="13">
        <v>734.7365980057443</v>
      </c>
      <c r="AH215" s="13">
        <v>277.14</v>
      </c>
    </row>
    <row r="216" spans="1:34" ht="14.25">
      <c r="A216" s="3"/>
      <c r="B216" s="3">
        <v>110</v>
      </c>
      <c r="C216" s="117" t="s">
        <v>75</v>
      </c>
      <c r="D216" s="113">
        <f t="shared" si="83"/>
        <v>0</v>
      </c>
      <c r="E216" s="113">
        <f t="shared" si="84"/>
        <v>0</v>
      </c>
      <c r="F216" s="113">
        <f t="shared" si="75"/>
        <v>0</v>
      </c>
      <c r="G216" s="113">
        <f t="shared" si="76"/>
        <v>0</v>
      </c>
      <c r="H216" s="113">
        <f t="shared" si="85"/>
        <v>0</v>
      </c>
      <c r="I216" s="113">
        <f t="shared" si="77"/>
        <v>0</v>
      </c>
      <c r="J216" s="113">
        <f t="shared" si="78"/>
        <v>522.8832764606358</v>
      </c>
      <c r="K216" s="113">
        <f t="shared" si="86"/>
        <v>199.81487905959992</v>
      </c>
      <c r="L216" s="113">
        <f t="shared" si="79"/>
        <v>305.1718152910253</v>
      </c>
      <c r="M216" s="113">
        <f t="shared" si="80"/>
        <v>450.49172733437075</v>
      </c>
      <c r="N216" s="113">
        <v>44</v>
      </c>
      <c r="O216" s="112">
        <v>274</v>
      </c>
      <c r="P216" s="113">
        <v>572</v>
      </c>
      <c r="Q216" s="113"/>
      <c r="R216" s="113">
        <f t="shared" si="81"/>
        <v>1016.1507444023304</v>
      </c>
      <c r="S216" s="112">
        <f t="shared" si="82"/>
        <v>2368.3616981456316</v>
      </c>
      <c r="U216" s="31">
        <v>0</v>
      </c>
      <c r="V216" s="31">
        <v>0</v>
      </c>
      <c r="W216" s="31">
        <v>0</v>
      </c>
      <c r="X216" s="31">
        <v>121.274288</v>
      </c>
      <c r="Y216" s="31">
        <v>1517.75536</v>
      </c>
      <c r="Z216" s="31">
        <v>1639.029648</v>
      </c>
      <c r="AG216" s="13">
        <v>199.81487905959992</v>
      </c>
      <c r="AH216" s="13">
        <v>277.14</v>
      </c>
    </row>
    <row r="217" spans="1:34" ht="14.25">
      <c r="A217" s="3"/>
      <c r="B217" s="3">
        <v>111</v>
      </c>
      <c r="C217" s="117" t="s">
        <v>176</v>
      </c>
      <c r="D217" s="113">
        <f t="shared" si="83"/>
        <v>0</v>
      </c>
      <c r="E217" s="113">
        <f t="shared" si="84"/>
        <v>0</v>
      </c>
      <c r="F217" s="113">
        <f t="shared" si="75"/>
        <v>0</v>
      </c>
      <c r="G217" s="113">
        <f t="shared" si="76"/>
        <v>0</v>
      </c>
      <c r="H217" s="113">
        <f t="shared" si="85"/>
        <v>0</v>
      </c>
      <c r="I217" s="113">
        <f t="shared" si="77"/>
        <v>0</v>
      </c>
      <c r="J217" s="113">
        <f t="shared" si="78"/>
        <v>522.8832764606358</v>
      </c>
      <c r="K217" s="113">
        <f t="shared" si="86"/>
        <v>499.5371976489997</v>
      </c>
      <c r="L217" s="113">
        <f t="shared" si="79"/>
        <v>762.9295382275632</v>
      </c>
      <c r="M217" s="113">
        <f t="shared" si="80"/>
        <v>1126.2293183359266</v>
      </c>
      <c r="N217" s="113">
        <v>44</v>
      </c>
      <c r="O217" s="112">
        <v>274</v>
      </c>
      <c r="P217" s="113">
        <v>572</v>
      </c>
      <c r="Q217" s="113"/>
      <c r="R217" s="113">
        <f t="shared" si="81"/>
        <v>2540.3768610058255</v>
      </c>
      <c r="S217" s="112">
        <f t="shared" si="82"/>
        <v>3801.5793306731252</v>
      </c>
      <c r="U217" s="31">
        <v>0</v>
      </c>
      <c r="V217" s="31">
        <v>0</v>
      </c>
      <c r="W217" s="31">
        <v>0</v>
      </c>
      <c r="X217" s="31">
        <v>121.274288</v>
      </c>
      <c r="Y217" s="31">
        <v>3794.3884</v>
      </c>
      <c r="Z217" s="31">
        <v>3914.662688</v>
      </c>
      <c r="AG217" s="13">
        <v>499.5371976489997</v>
      </c>
      <c r="AH217" s="13">
        <v>277.14</v>
      </c>
    </row>
    <row r="218" spans="1:34" ht="14.25">
      <c r="A218" s="3"/>
      <c r="B218" s="3">
        <v>112</v>
      </c>
      <c r="C218" s="117" t="s">
        <v>62</v>
      </c>
      <c r="D218" s="113">
        <f t="shared" si="83"/>
        <v>0</v>
      </c>
      <c r="E218" s="113">
        <f t="shared" si="84"/>
        <v>0</v>
      </c>
      <c r="F218" s="113">
        <f t="shared" si="75"/>
        <v>0</v>
      </c>
      <c r="G218" s="113">
        <f t="shared" si="76"/>
        <v>0</v>
      </c>
      <c r="H218" s="113">
        <f t="shared" si="85"/>
        <v>0</v>
      </c>
      <c r="I218" s="113">
        <f t="shared" si="77"/>
        <v>0</v>
      </c>
      <c r="J218" s="113">
        <f t="shared" si="78"/>
        <v>522.8832764606358</v>
      </c>
      <c r="K218" s="113">
        <f t="shared" si="86"/>
        <v>499.5371976489997</v>
      </c>
      <c r="L218" s="113">
        <f t="shared" si="79"/>
        <v>762.9295382275632</v>
      </c>
      <c r="M218" s="113">
        <f t="shared" si="80"/>
        <v>1126.2293183359266</v>
      </c>
      <c r="N218" s="113">
        <v>44</v>
      </c>
      <c r="O218" s="112">
        <v>274</v>
      </c>
      <c r="P218" s="113">
        <v>572</v>
      </c>
      <c r="Q218" s="113"/>
      <c r="R218" s="113">
        <f t="shared" si="81"/>
        <v>2540.3768610058255</v>
      </c>
      <c r="S218" s="112">
        <f t="shared" si="82"/>
        <v>3801.5793306731252</v>
      </c>
      <c r="U218" s="31">
        <v>0</v>
      </c>
      <c r="V218" s="31">
        <v>0</v>
      </c>
      <c r="W218" s="31">
        <v>0</v>
      </c>
      <c r="X218" s="31">
        <v>121.274288</v>
      </c>
      <c r="Y218" s="31">
        <v>3794.3884</v>
      </c>
      <c r="Z218" s="31">
        <v>3914.662688</v>
      </c>
      <c r="AG218" s="13">
        <v>499.5371976489997</v>
      </c>
      <c r="AH218" s="13">
        <v>277.14</v>
      </c>
    </row>
    <row r="219" spans="1:34" ht="14.25">
      <c r="A219" s="3"/>
      <c r="B219" s="3">
        <v>113</v>
      </c>
      <c r="C219" s="117" t="s">
        <v>177</v>
      </c>
      <c r="D219" s="113">
        <f t="shared" si="83"/>
        <v>0</v>
      </c>
      <c r="E219" s="113">
        <f t="shared" si="84"/>
        <v>0</v>
      </c>
      <c r="F219" s="113">
        <f t="shared" si="75"/>
        <v>0</v>
      </c>
      <c r="G219" s="113">
        <f t="shared" si="76"/>
        <v>0</v>
      </c>
      <c r="H219" s="113">
        <f t="shared" si="85"/>
        <v>0</v>
      </c>
      <c r="I219" s="113">
        <f t="shared" si="77"/>
        <v>0</v>
      </c>
      <c r="J219" s="113">
        <f t="shared" si="78"/>
        <v>43.115757270876394</v>
      </c>
      <c r="K219" s="113">
        <f t="shared" si="86"/>
        <v>197.47735800412516</v>
      </c>
      <c r="L219" s="113">
        <f t="shared" si="79"/>
        <v>301.60178313357295</v>
      </c>
      <c r="M219" s="113">
        <f t="shared" si="80"/>
        <v>445.2216798638458</v>
      </c>
      <c r="N219" s="113">
        <v>44</v>
      </c>
      <c r="O219" s="112">
        <v>274</v>
      </c>
      <c r="P219" s="113">
        <v>572</v>
      </c>
      <c r="Q219" s="113"/>
      <c r="R219" s="113">
        <f t="shared" si="81"/>
        <v>1004.2633725922044</v>
      </c>
      <c r="S219" s="112">
        <f t="shared" si="82"/>
        <v>1877.4165782724203</v>
      </c>
      <c r="U219" s="31">
        <v>0</v>
      </c>
      <c r="V219" s="31">
        <v>0</v>
      </c>
      <c r="W219" s="31">
        <v>0</v>
      </c>
      <c r="X219" s="31">
        <v>10</v>
      </c>
      <c r="Y219" s="31">
        <v>1500</v>
      </c>
      <c r="Z219" s="31">
        <v>1510</v>
      </c>
      <c r="AG219" s="13">
        <v>197.47735800412516</v>
      </c>
      <c r="AH219" s="13">
        <v>277.14</v>
      </c>
    </row>
    <row r="220" spans="1:34" ht="14.25">
      <c r="A220" s="3"/>
      <c r="B220" s="3">
        <v>114</v>
      </c>
      <c r="C220" s="117" t="s">
        <v>61</v>
      </c>
      <c r="D220" s="113">
        <f t="shared" si="83"/>
        <v>0</v>
      </c>
      <c r="E220" s="113">
        <f t="shared" si="84"/>
        <v>0</v>
      </c>
      <c r="F220" s="113">
        <f t="shared" si="75"/>
        <v>0</v>
      </c>
      <c r="G220" s="113">
        <f t="shared" si="76"/>
        <v>0</v>
      </c>
      <c r="H220" s="113">
        <f t="shared" si="85"/>
        <v>0</v>
      </c>
      <c r="I220" s="113">
        <f t="shared" si="77"/>
        <v>0</v>
      </c>
      <c r="J220" s="113">
        <f t="shared" si="78"/>
        <v>2155.7878635438196</v>
      </c>
      <c r="K220" s="113">
        <f t="shared" si="86"/>
        <v>197.47735800412516</v>
      </c>
      <c r="L220" s="113">
        <f t="shared" si="79"/>
        <v>301.60178313357295</v>
      </c>
      <c r="M220" s="113">
        <f t="shared" si="80"/>
        <v>445.2216798638458</v>
      </c>
      <c r="N220" s="113">
        <v>44</v>
      </c>
      <c r="O220" s="112">
        <v>274</v>
      </c>
      <c r="P220" s="113">
        <v>572</v>
      </c>
      <c r="Q220" s="113"/>
      <c r="R220" s="113">
        <f t="shared" si="81"/>
        <v>1004.2633725922044</v>
      </c>
      <c r="S220" s="112">
        <f t="shared" si="82"/>
        <v>3990.0886845453633</v>
      </c>
      <c r="U220" s="31">
        <v>0</v>
      </c>
      <c r="V220" s="31">
        <v>0</v>
      </c>
      <c r="W220" s="31">
        <v>0</v>
      </c>
      <c r="X220" s="31">
        <v>500</v>
      </c>
      <c r="Y220" s="31">
        <v>1500</v>
      </c>
      <c r="Z220" s="31">
        <v>2000</v>
      </c>
      <c r="AG220" s="13">
        <v>197.47735800412516</v>
      </c>
      <c r="AH220" s="13">
        <v>277.14</v>
      </c>
    </row>
    <row r="221" spans="1:34" ht="14.25">
      <c r="A221" s="3"/>
      <c r="B221" s="3">
        <v>115</v>
      </c>
      <c r="C221" s="101" t="s">
        <v>63</v>
      </c>
      <c r="D221" s="113">
        <f t="shared" si="83"/>
        <v>0</v>
      </c>
      <c r="E221" s="113">
        <f t="shared" si="84"/>
        <v>0</v>
      </c>
      <c r="F221" s="113">
        <f t="shared" si="75"/>
        <v>0</v>
      </c>
      <c r="G221" s="113">
        <f t="shared" si="76"/>
        <v>0</v>
      </c>
      <c r="H221" s="113">
        <f t="shared" si="85"/>
        <v>0</v>
      </c>
      <c r="I221" s="113">
        <f t="shared" si="77"/>
        <v>0</v>
      </c>
      <c r="J221" s="113">
        <f t="shared" si="78"/>
        <v>8.623151454175279</v>
      </c>
      <c r="K221" s="113">
        <f t="shared" si="86"/>
        <v>197.47735800412516</v>
      </c>
      <c r="L221" s="113">
        <f t="shared" si="79"/>
        <v>301.60178313357295</v>
      </c>
      <c r="M221" s="113">
        <f t="shared" si="80"/>
        <v>445.2216798638458</v>
      </c>
      <c r="N221" s="113">
        <v>44</v>
      </c>
      <c r="O221" s="112">
        <v>274</v>
      </c>
      <c r="P221" s="113">
        <v>572</v>
      </c>
      <c r="Q221" s="113"/>
      <c r="R221" s="113">
        <f t="shared" si="81"/>
        <v>1004.2633725922044</v>
      </c>
      <c r="S221" s="112">
        <f t="shared" si="82"/>
        <v>1842.9239724557192</v>
      </c>
      <c r="U221" s="31">
        <v>0</v>
      </c>
      <c r="V221" s="31">
        <v>0</v>
      </c>
      <c r="W221" s="31">
        <v>0</v>
      </c>
      <c r="X221" s="31">
        <v>2</v>
      </c>
      <c r="Y221" s="31">
        <v>1500</v>
      </c>
      <c r="Z221" s="31">
        <v>1502</v>
      </c>
      <c r="AG221" s="13">
        <v>197.47735800412516</v>
      </c>
      <c r="AH221" s="13">
        <v>277.14</v>
      </c>
    </row>
    <row r="222" spans="1:34" ht="14.25">
      <c r="A222" s="3"/>
      <c r="B222" s="3">
        <v>116</v>
      </c>
      <c r="C222" s="117" t="s">
        <v>65</v>
      </c>
      <c r="D222" s="113">
        <f t="shared" si="83"/>
        <v>0</v>
      </c>
      <c r="E222" s="113">
        <f t="shared" si="84"/>
        <v>0</v>
      </c>
      <c r="F222" s="113">
        <f t="shared" si="75"/>
        <v>0</v>
      </c>
      <c r="G222" s="113">
        <f t="shared" si="76"/>
        <v>0</v>
      </c>
      <c r="H222" s="113">
        <f t="shared" si="85"/>
        <v>0</v>
      </c>
      <c r="I222" s="113">
        <f t="shared" si="77"/>
        <v>0</v>
      </c>
      <c r="J222" s="113">
        <f t="shared" si="78"/>
        <v>2155.7878635438196</v>
      </c>
      <c r="K222" s="113">
        <f t="shared" si="86"/>
        <v>197.47735800412516</v>
      </c>
      <c r="L222" s="113">
        <f t="shared" si="79"/>
        <v>301.60178313357295</v>
      </c>
      <c r="M222" s="113">
        <f t="shared" si="80"/>
        <v>445.2216798638458</v>
      </c>
      <c r="N222" s="113">
        <v>44</v>
      </c>
      <c r="O222" s="112">
        <v>274</v>
      </c>
      <c r="P222" s="113">
        <v>572</v>
      </c>
      <c r="Q222" s="113"/>
      <c r="R222" s="113">
        <f t="shared" si="81"/>
        <v>1004.2633725922044</v>
      </c>
      <c r="S222" s="112">
        <f t="shared" si="82"/>
        <v>3990.0886845453633</v>
      </c>
      <c r="U222" s="31">
        <v>0</v>
      </c>
      <c r="V222" s="31">
        <v>0</v>
      </c>
      <c r="W222" s="31">
        <v>0</v>
      </c>
      <c r="X222" s="31">
        <v>500</v>
      </c>
      <c r="Y222" s="31">
        <v>1500</v>
      </c>
      <c r="Z222" s="31">
        <v>2000</v>
      </c>
      <c r="AG222" s="13">
        <v>197.47735800412516</v>
      </c>
      <c r="AH222" s="13">
        <v>277.14</v>
      </c>
    </row>
    <row r="223" spans="1:34" ht="14.25">
      <c r="A223" s="3"/>
      <c r="B223" s="3">
        <v>117</v>
      </c>
      <c r="C223" s="117" t="s">
        <v>178</v>
      </c>
      <c r="D223" s="113">
        <f t="shared" si="83"/>
        <v>0</v>
      </c>
      <c r="E223" s="113">
        <f t="shared" si="84"/>
        <v>0</v>
      </c>
      <c r="F223" s="113">
        <f t="shared" si="75"/>
        <v>0</v>
      </c>
      <c r="G223" s="113">
        <f t="shared" si="76"/>
        <v>0</v>
      </c>
      <c r="H223" s="113">
        <f t="shared" si="85"/>
        <v>0</v>
      </c>
      <c r="I223" s="113">
        <f t="shared" si="77"/>
        <v>0</v>
      </c>
      <c r="J223" s="113">
        <f t="shared" si="78"/>
        <v>0</v>
      </c>
      <c r="K223" s="113">
        <f t="shared" si="86"/>
        <v>773.4069452692045</v>
      </c>
      <c r="L223" s="113">
        <f t="shared" si="79"/>
        <v>1181.203334592967</v>
      </c>
      <c r="M223" s="113">
        <f t="shared" si="80"/>
        <v>1743.6811129705702</v>
      </c>
      <c r="N223" s="113">
        <v>44</v>
      </c>
      <c r="O223" s="112">
        <v>274</v>
      </c>
      <c r="P223" s="113">
        <v>572</v>
      </c>
      <c r="Q223" s="113"/>
      <c r="R223" s="113">
        <f t="shared" si="81"/>
        <v>3933.1307401128033</v>
      </c>
      <c r="S223" s="112">
        <f t="shared" si="82"/>
        <v>4588.291392832742</v>
      </c>
      <c r="U223" s="31">
        <v>0</v>
      </c>
      <c r="V223" s="31">
        <v>0</v>
      </c>
      <c r="W223" s="31">
        <v>0</v>
      </c>
      <c r="X223" s="31">
        <v>0</v>
      </c>
      <c r="Y223" s="31">
        <v>5874.6502871462</v>
      </c>
      <c r="Z223" s="31">
        <v>5874.6502871462</v>
      </c>
      <c r="AG223" s="13">
        <v>773.4069452692045</v>
      </c>
      <c r="AH223" s="13">
        <v>277.14</v>
      </c>
    </row>
    <row r="224" spans="1:26" ht="14.25">
      <c r="A224" s="3">
        <v>10</v>
      </c>
      <c r="B224" s="3"/>
      <c r="C224" s="101" t="s">
        <v>78</v>
      </c>
      <c r="D224" s="112">
        <f>SUM(D214:D223)</f>
        <v>100</v>
      </c>
      <c r="E224" s="112">
        <f>SUM(E214:E223)</f>
        <v>868.1113118949635</v>
      </c>
      <c r="F224" s="113">
        <f t="shared" si="75"/>
        <v>968.1113118949635</v>
      </c>
      <c r="G224" s="112">
        <f aca="true" t="shared" si="87" ref="G224:P224">SUM(G214:G223)</f>
        <v>105.0819677566336</v>
      </c>
      <c r="H224" s="112">
        <f t="shared" si="87"/>
        <v>109.42408813813883</v>
      </c>
      <c r="I224" s="113">
        <f t="shared" si="87"/>
        <v>1182.617367789736</v>
      </c>
      <c r="J224" s="113">
        <f t="shared" si="87"/>
        <v>37718.9101839771</v>
      </c>
      <c r="K224" s="112">
        <f t="shared" si="87"/>
        <v>6035.397196715112</v>
      </c>
      <c r="L224" s="112">
        <f t="shared" si="87"/>
        <v>9981.333900437625</v>
      </c>
      <c r="M224" s="112">
        <f t="shared" si="87"/>
        <v>14734.35004350316</v>
      </c>
      <c r="N224" s="112">
        <f t="shared" si="87"/>
        <v>440</v>
      </c>
      <c r="O224" s="112">
        <f t="shared" si="87"/>
        <v>2740</v>
      </c>
      <c r="P224" s="112">
        <f t="shared" si="87"/>
        <v>5720</v>
      </c>
      <c r="Q224" s="112"/>
      <c r="R224" s="112">
        <f>SUM(R214:R223)</f>
        <v>33235.506573192324</v>
      </c>
      <c r="S224" s="112">
        <f>SUM(S214:S223)</f>
        <v>78552.60869242274</v>
      </c>
      <c r="U224" s="10">
        <v>0</v>
      </c>
      <c r="V224" s="10">
        <v>947.20638638985</v>
      </c>
      <c r="W224" s="10">
        <v>947.20638638985</v>
      </c>
      <c r="X224" s="10">
        <v>8748.28892532413</v>
      </c>
      <c r="Y224" s="10">
        <v>49641.6191413088</v>
      </c>
      <c r="Z224" s="10">
        <v>59337.1144530227</v>
      </c>
    </row>
    <row r="225" spans="1:26" ht="14.25">
      <c r="A225" s="3"/>
      <c r="B225" s="3"/>
      <c r="C225" s="101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U225" s="10"/>
      <c r="V225" s="10"/>
      <c r="W225" s="10"/>
      <c r="X225" s="10"/>
      <c r="Y225" s="10"/>
      <c r="Z225" s="10"/>
    </row>
    <row r="226" spans="1:34" ht="14.25">
      <c r="A226" s="3"/>
      <c r="B226" s="3">
        <v>118</v>
      </c>
      <c r="C226" s="117" t="s">
        <v>179</v>
      </c>
      <c r="D226" s="113">
        <f aca="true" t="shared" si="88" ref="D226:D231">U226*$E$279/100</f>
        <v>0</v>
      </c>
      <c r="E226" s="113">
        <f>V226*$E$279/100+5</f>
        <v>63.821719434532326</v>
      </c>
      <c r="F226" s="113">
        <f aca="true" t="shared" si="89" ref="F226:F232">D226+E226</f>
        <v>63.821719434532326</v>
      </c>
      <c r="G226" s="113">
        <f aca="true" t="shared" si="90" ref="G226:G231">E226*$G$279/100</f>
        <v>7.725405454230381</v>
      </c>
      <c r="H226" s="113">
        <f>E226*$H$279/100+3</f>
        <v>10.235932135292824</v>
      </c>
      <c r="I226" s="113">
        <f aca="true" t="shared" si="91" ref="I226:I231">F226+G226+H226</f>
        <v>81.78305702405554</v>
      </c>
      <c r="J226" s="113">
        <f aca="true" t="shared" si="92" ref="J226:J231">X226*$J$279/100</f>
        <v>431.8004957639967</v>
      </c>
      <c r="K226" s="113">
        <f aca="true" t="shared" si="93" ref="K226:K231">R226*$K$279/100</f>
        <v>75.40717716374738</v>
      </c>
      <c r="L226" s="113">
        <f aca="true" t="shared" si="94" ref="L226:L231">R226*$L$279/100</f>
        <v>115.16732512281416</v>
      </c>
      <c r="M226" s="113">
        <f aca="true" t="shared" si="95" ref="M226:M231">R226*$M$279/100</f>
        <v>170.00890851463043</v>
      </c>
      <c r="N226" s="113">
        <v>44.84</v>
      </c>
      <c r="O226" s="112">
        <v>274</v>
      </c>
      <c r="P226" s="113">
        <v>572</v>
      </c>
      <c r="Q226" s="113"/>
      <c r="R226" s="113">
        <f aca="true" t="shared" si="96" ref="R226:R231">Y226*$R$279/100</f>
        <v>383.480247160998</v>
      </c>
      <c r="S226" s="112">
        <f aca="true" t="shared" si="97" ref="S226:S231">I226+J226+K226+L226+M226+N226+O226+P226</f>
        <v>1765.0069635892442</v>
      </c>
      <c r="U226" s="31">
        <v>0</v>
      </c>
      <c r="V226" s="31">
        <v>66.0841664923151</v>
      </c>
      <c r="W226" s="31">
        <v>66.0841664923151</v>
      </c>
      <c r="X226" s="31">
        <v>100.149115566078</v>
      </c>
      <c r="Y226" s="31">
        <v>572.778402996754</v>
      </c>
      <c r="Z226" s="31">
        <v>739.011685055148</v>
      </c>
      <c r="AG226" s="13">
        <v>75.40717716374738</v>
      </c>
      <c r="AH226" s="13">
        <v>277.14</v>
      </c>
    </row>
    <row r="227" spans="1:34" ht="14.25">
      <c r="A227" s="3"/>
      <c r="B227" s="3">
        <v>119</v>
      </c>
      <c r="C227" s="117" t="s">
        <v>73</v>
      </c>
      <c r="D227" s="113">
        <f t="shared" si="88"/>
        <v>0</v>
      </c>
      <c r="E227" s="113">
        <f>V227*$E$279/100</f>
        <v>0</v>
      </c>
      <c r="F227" s="113">
        <f t="shared" si="89"/>
        <v>0</v>
      </c>
      <c r="G227" s="113">
        <f t="shared" si="90"/>
        <v>0</v>
      </c>
      <c r="H227" s="113">
        <f>E227*$H$279/100</f>
        <v>0</v>
      </c>
      <c r="I227" s="113">
        <f t="shared" si="91"/>
        <v>0</v>
      </c>
      <c r="J227" s="113">
        <f t="shared" si="92"/>
        <v>1045.7665529212716</v>
      </c>
      <c r="K227" s="113">
        <f t="shared" si="93"/>
        <v>236.97282960495016</v>
      </c>
      <c r="L227" s="113">
        <f t="shared" si="94"/>
        <v>361.92213976028756</v>
      </c>
      <c r="M227" s="113">
        <f t="shared" si="95"/>
        <v>534.2660158366149</v>
      </c>
      <c r="N227" s="113">
        <v>44.84</v>
      </c>
      <c r="O227" s="112">
        <v>274</v>
      </c>
      <c r="P227" s="113">
        <v>572</v>
      </c>
      <c r="Q227" s="113"/>
      <c r="R227" s="113">
        <f t="shared" si="96"/>
        <v>1205.1160471106452</v>
      </c>
      <c r="S227" s="112">
        <f t="shared" si="97"/>
        <v>3069.7675381231243</v>
      </c>
      <c r="U227" s="31">
        <v>0</v>
      </c>
      <c r="V227" s="31">
        <v>0</v>
      </c>
      <c r="W227" s="31">
        <v>0</v>
      </c>
      <c r="X227" s="31">
        <v>242.548576</v>
      </c>
      <c r="Y227" s="31">
        <v>1800</v>
      </c>
      <c r="Z227" s="31">
        <v>2042.548576</v>
      </c>
      <c r="AG227" s="13">
        <v>236.97282960495016</v>
      </c>
      <c r="AH227" s="13">
        <v>277.14</v>
      </c>
    </row>
    <row r="228" spans="1:34" ht="14.25">
      <c r="A228" s="3"/>
      <c r="B228" s="3">
        <v>120</v>
      </c>
      <c r="C228" s="117" t="s">
        <v>75</v>
      </c>
      <c r="D228" s="113">
        <f t="shared" si="88"/>
        <v>0</v>
      </c>
      <c r="E228" s="113">
        <f>V228*$E$279/100</f>
        <v>0</v>
      </c>
      <c r="F228" s="113">
        <f t="shared" si="89"/>
        <v>0</v>
      </c>
      <c r="G228" s="113">
        <f t="shared" si="90"/>
        <v>0</v>
      </c>
      <c r="H228" s="113">
        <f>E228*$H$279/100</f>
        <v>0</v>
      </c>
      <c r="I228" s="113">
        <f t="shared" si="91"/>
        <v>0</v>
      </c>
      <c r="J228" s="113">
        <f t="shared" si="92"/>
        <v>0</v>
      </c>
      <c r="K228" s="113">
        <f t="shared" si="93"/>
        <v>144.0268197710086</v>
      </c>
      <c r="L228" s="113">
        <f t="shared" si="94"/>
        <v>219.96823383208587</v>
      </c>
      <c r="M228" s="113">
        <f t="shared" si="95"/>
        <v>324.71501184736485</v>
      </c>
      <c r="N228" s="113">
        <v>44.84</v>
      </c>
      <c r="O228" s="112">
        <v>274</v>
      </c>
      <c r="P228" s="113">
        <v>572</v>
      </c>
      <c r="Q228" s="113"/>
      <c r="R228" s="113">
        <f t="shared" si="96"/>
        <v>732.4427530772477</v>
      </c>
      <c r="S228" s="112">
        <f t="shared" si="97"/>
        <v>1579.5500654504594</v>
      </c>
      <c r="U228" s="10">
        <v>0</v>
      </c>
      <c r="V228" s="10">
        <v>0</v>
      </c>
      <c r="W228" s="10">
        <v>0</v>
      </c>
      <c r="X228" s="10">
        <v>0</v>
      </c>
      <c r="Y228" s="10">
        <v>1094</v>
      </c>
      <c r="Z228" s="31">
        <v>1094</v>
      </c>
      <c r="AG228" s="13">
        <v>144.0268197710086</v>
      </c>
      <c r="AH228" s="13">
        <v>277.14</v>
      </c>
    </row>
    <row r="229" spans="1:34" ht="14.25">
      <c r="A229" s="3"/>
      <c r="B229" s="3">
        <v>121</v>
      </c>
      <c r="C229" s="101" t="s">
        <v>180</v>
      </c>
      <c r="D229" s="113">
        <f t="shared" si="88"/>
        <v>0</v>
      </c>
      <c r="E229" s="113">
        <f>V229*$E$279/100</f>
        <v>0</v>
      </c>
      <c r="F229" s="113">
        <f t="shared" si="89"/>
        <v>0</v>
      </c>
      <c r="G229" s="113">
        <f t="shared" si="90"/>
        <v>0</v>
      </c>
      <c r="H229" s="113">
        <f>E229*$H$279/100</f>
        <v>0</v>
      </c>
      <c r="I229" s="113">
        <f t="shared" si="91"/>
        <v>0</v>
      </c>
      <c r="J229" s="113">
        <f t="shared" si="92"/>
        <v>0</v>
      </c>
      <c r="K229" s="113">
        <f t="shared" si="93"/>
        <v>144.0268197710086</v>
      </c>
      <c r="L229" s="113">
        <f t="shared" si="94"/>
        <v>219.96823383208587</v>
      </c>
      <c r="M229" s="113">
        <f t="shared" si="95"/>
        <v>324.71501184736485</v>
      </c>
      <c r="N229" s="113">
        <v>44.84</v>
      </c>
      <c r="O229" s="112">
        <v>274</v>
      </c>
      <c r="P229" s="113">
        <v>572</v>
      </c>
      <c r="Q229" s="113"/>
      <c r="R229" s="113">
        <f t="shared" si="96"/>
        <v>732.4427530772477</v>
      </c>
      <c r="S229" s="112">
        <f t="shared" si="97"/>
        <v>1579.5500654504594</v>
      </c>
      <c r="U229" s="10">
        <v>0</v>
      </c>
      <c r="V229" s="10">
        <v>0</v>
      </c>
      <c r="W229" s="10">
        <v>0</v>
      </c>
      <c r="X229" s="10">
        <v>0</v>
      </c>
      <c r="Y229" s="10">
        <v>1094</v>
      </c>
      <c r="Z229" s="31">
        <v>1094</v>
      </c>
      <c r="AG229" s="13">
        <v>144.0268197710086</v>
      </c>
      <c r="AH229" s="13">
        <v>277.14</v>
      </c>
    </row>
    <row r="230" spans="1:34" ht="14.25">
      <c r="A230" s="3"/>
      <c r="B230" s="3">
        <v>122</v>
      </c>
      <c r="C230" s="117" t="s">
        <v>125</v>
      </c>
      <c r="D230" s="113">
        <f t="shared" si="88"/>
        <v>0</v>
      </c>
      <c r="E230" s="113">
        <f>V230*$E$279/100</f>
        <v>0</v>
      </c>
      <c r="F230" s="113">
        <f t="shared" si="89"/>
        <v>0</v>
      </c>
      <c r="G230" s="113">
        <f t="shared" si="90"/>
        <v>0</v>
      </c>
      <c r="H230" s="113">
        <f>E230*$H$279/100</f>
        <v>0</v>
      </c>
      <c r="I230" s="113">
        <f t="shared" si="91"/>
        <v>0</v>
      </c>
      <c r="J230" s="113">
        <f t="shared" si="92"/>
        <v>0</v>
      </c>
      <c r="K230" s="113">
        <f t="shared" si="93"/>
        <v>236.97282960495016</v>
      </c>
      <c r="L230" s="113">
        <f t="shared" si="94"/>
        <v>361.92213976028756</v>
      </c>
      <c r="M230" s="113">
        <f t="shared" si="95"/>
        <v>534.2660158366149</v>
      </c>
      <c r="N230" s="113">
        <v>44.84</v>
      </c>
      <c r="O230" s="112">
        <v>274</v>
      </c>
      <c r="P230" s="113">
        <v>572</v>
      </c>
      <c r="Q230" s="113"/>
      <c r="R230" s="113">
        <f t="shared" si="96"/>
        <v>1205.1160471106452</v>
      </c>
      <c r="S230" s="112">
        <f t="shared" si="97"/>
        <v>2024.0009852018527</v>
      </c>
      <c r="U230" s="10">
        <v>0</v>
      </c>
      <c r="V230" s="10">
        <v>0</v>
      </c>
      <c r="W230" s="10">
        <v>0</v>
      </c>
      <c r="X230" s="10">
        <v>0</v>
      </c>
      <c r="Y230" s="10">
        <v>1800</v>
      </c>
      <c r="Z230" s="31">
        <v>1800</v>
      </c>
      <c r="AG230" s="13">
        <v>236.97282960495016</v>
      </c>
      <c r="AH230" s="13">
        <v>277.14</v>
      </c>
    </row>
    <row r="231" spans="1:34" ht="14.25">
      <c r="A231" s="3"/>
      <c r="B231" s="3">
        <v>123</v>
      </c>
      <c r="C231" s="117" t="s">
        <v>181</v>
      </c>
      <c r="D231" s="113">
        <f t="shared" si="88"/>
        <v>0</v>
      </c>
      <c r="E231" s="113">
        <f>V231*$E$279/100</f>
        <v>0</v>
      </c>
      <c r="F231" s="113">
        <f t="shared" si="89"/>
        <v>0</v>
      </c>
      <c r="G231" s="113">
        <f t="shared" si="90"/>
        <v>0</v>
      </c>
      <c r="H231" s="113">
        <f>E231*$H$279/100</f>
        <v>0</v>
      </c>
      <c r="I231" s="113">
        <f t="shared" si="91"/>
        <v>0</v>
      </c>
      <c r="J231" s="113">
        <f t="shared" si="92"/>
        <v>1045.7665529212716</v>
      </c>
      <c r="K231" s="113">
        <f t="shared" si="93"/>
        <v>236.97282960495016</v>
      </c>
      <c r="L231" s="113">
        <f t="shared" si="94"/>
        <v>361.92213976028756</v>
      </c>
      <c r="M231" s="113">
        <f t="shared" si="95"/>
        <v>534.2660158366149</v>
      </c>
      <c r="N231" s="113">
        <v>44.84</v>
      </c>
      <c r="O231" s="112">
        <v>274</v>
      </c>
      <c r="P231" s="113">
        <v>572</v>
      </c>
      <c r="Q231" s="113"/>
      <c r="R231" s="113">
        <f t="shared" si="96"/>
        <v>1205.1160471106452</v>
      </c>
      <c r="S231" s="112">
        <f t="shared" si="97"/>
        <v>3069.7675381231243</v>
      </c>
      <c r="U231" s="31">
        <v>0</v>
      </c>
      <c r="V231" s="31">
        <v>0</v>
      </c>
      <c r="W231" s="31">
        <v>0</v>
      </c>
      <c r="X231" s="31">
        <v>242.548576</v>
      </c>
      <c r="Y231" s="31">
        <v>1800</v>
      </c>
      <c r="Z231" s="31">
        <v>2042.548576</v>
      </c>
      <c r="AG231" s="13">
        <v>236.97282960495016</v>
      </c>
      <c r="AH231" s="13">
        <v>277.14</v>
      </c>
    </row>
    <row r="232" spans="1:26" ht="14.25">
      <c r="A232" s="3">
        <v>6</v>
      </c>
      <c r="B232" s="3"/>
      <c r="C232" s="101" t="s">
        <v>78</v>
      </c>
      <c r="D232" s="112">
        <f>SUM(D226:D231)</f>
        <v>0</v>
      </c>
      <c r="E232" s="112">
        <f>SUM(E226:E231)</f>
        <v>63.821719434532326</v>
      </c>
      <c r="F232" s="113">
        <f t="shared" si="89"/>
        <v>63.821719434532326</v>
      </c>
      <c r="G232" s="112">
        <f aca="true" t="shared" si="98" ref="G232:P232">SUM(G226:G231)</f>
        <v>7.725405454230381</v>
      </c>
      <c r="H232" s="112">
        <f t="shared" si="98"/>
        <v>10.235932135292824</v>
      </c>
      <c r="I232" s="113">
        <f t="shared" si="98"/>
        <v>81.78305702405554</v>
      </c>
      <c r="J232" s="113">
        <f t="shared" si="98"/>
        <v>2523.33360160654</v>
      </c>
      <c r="K232" s="112">
        <f t="shared" si="98"/>
        <v>1074.3793055206152</v>
      </c>
      <c r="L232" s="112">
        <f t="shared" si="98"/>
        <v>1640.8702120678486</v>
      </c>
      <c r="M232" s="112">
        <f t="shared" si="98"/>
        <v>2422.2369797192046</v>
      </c>
      <c r="N232" s="112">
        <f t="shared" si="98"/>
        <v>269.04</v>
      </c>
      <c r="O232" s="112">
        <f t="shared" si="98"/>
        <v>1644</v>
      </c>
      <c r="P232" s="112">
        <f t="shared" si="98"/>
        <v>3432</v>
      </c>
      <c r="Q232" s="112"/>
      <c r="R232" s="112">
        <f>SUM(R226:R231)</f>
        <v>5463.713894647429</v>
      </c>
      <c r="S232" s="112">
        <f>SUM(S226:S231)</f>
        <v>13087.643155938262</v>
      </c>
      <c r="U232" s="10">
        <v>0</v>
      </c>
      <c r="V232" s="10">
        <v>66.0841664923151</v>
      </c>
      <c r="W232" s="10">
        <v>66.0841664923151</v>
      </c>
      <c r="X232" s="10">
        <v>586.246267566078</v>
      </c>
      <c r="Y232" s="10">
        <v>8160.77840299676</v>
      </c>
      <c r="Z232" s="31">
        <v>8813.10883705515</v>
      </c>
    </row>
    <row r="233" spans="1:26" ht="14.25">
      <c r="A233" s="3"/>
      <c r="B233" s="3"/>
      <c r="C233" s="101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U233" s="10"/>
      <c r="V233" s="10"/>
      <c r="W233" s="10"/>
      <c r="X233" s="10"/>
      <c r="Y233" s="10"/>
      <c r="Z233" s="10"/>
    </row>
    <row r="234" spans="1:34" ht="14.25">
      <c r="A234" s="3">
        <v>1</v>
      </c>
      <c r="B234" s="3">
        <v>124</v>
      </c>
      <c r="C234" s="117" t="s">
        <v>182</v>
      </c>
      <c r="D234" s="113">
        <f>U234*$E$279/100</f>
        <v>0</v>
      </c>
      <c r="E234" s="113">
        <f>V234*$E$279/100</f>
        <v>0</v>
      </c>
      <c r="F234" s="113">
        <f>D234+E234</f>
        <v>0</v>
      </c>
      <c r="G234" s="113">
        <f>E234*$G$279/100</f>
        <v>0</v>
      </c>
      <c r="H234" s="113">
        <f>E234*$H$279/100</f>
        <v>0</v>
      </c>
      <c r="I234" s="113">
        <f>F234+G234+H234</f>
        <v>0</v>
      </c>
      <c r="J234" s="113">
        <f>X234*$J$279/100</f>
        <v>15885.53556257127</v>
      </c>
      <c r="K234" s="113">
        <f>R234*$K$279/100-500</f>
        <v>17333.23961072018</v>
      </c>
      <c r="L234" s="113">
        <f>R234*$L$279/100</f>
        <v>27236.220496372633</v>
      </c>
      <c r="M234" s="113">
        <f>R234*$M$279/100</f>
        <v>40205.849304169125</v>
      </c>
      <c r="N234" s="113">
        <v>44.84</v>
      </c>
      <c r="O234" s="122">
        <v>275</v>
      </c>
      <c r="P234" s="113">
        <v>550</v>
      </c>
      <c r="Q234" s="113"/>
      <c r="R234" s="113">
        <f>Y234*$R$279/100</f>
        <v>90690.24184196664</v>
      </c>
      <c r="S234" s="112">
        <f>I234+J234+K234+L234+M234+N234+O234+P234</f>
        <v>101530.68497383321</v>
      </c>
      <c r="U234" s="31">
        <v>0</v>
      </c>
      <c r="V234" s="31">
        <v>0</v>
      </c>
      <c r="W234" s="31">
        <v>0</v>
      </c>
      <c r="X234" s="31">
        <v>3684.39210351097</v>
      </c>
      <c r="Y234" s="31">
        <v>135457.855454606</v>
      </c>
      <c r="Z234" s="31">
        <v>139142.247558117</v>
      </c>
      <c r="AG234" s="13">
        <v>17333.23961072018</v>
      </c>
      <c r="AH234" s="13">
        <v>277.14</v>
      </c>
    </row>
    <row r="235" spans="1:26" ht="14.25">
      <c r="A235" s="3"/>
      <c r="B235" s="3"/>
      <c r="C235" s="101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U235" s="10"/>
      <c r="V235" s="10"/>
      <c r="W235" s="10"/>
      <c r="X235" s="10"/>
      <c r="Y235" s="10"/>
      <c r="Z235" s="10"/>
    </row>
    <row r="236" spans="1:34" ht="14.25">
      <c r="A236" s="3">
        <v>1</v>
      </c>
      <c r="B236" s="3">
        <v>125</v>
      </c>
      <c r="C236" s="117" t="s">
        <v>183</v>
      </c>
      <c r="D236" s="113">
        <f>U236*$E$279/100</f>
        <v>0</v>
      </c>
      <c r="E236" s="113">
        <f>V236*$E$279/100</f>
        <v>0</v>
      </c>
      <c r="F236" s="113">
        <f>D236+E236</f>
        <v>0</v>
      </c>
      <c r="G236" s="113">
        <f>E236*$G$279/100</f>
        <v>0</v>
      </c>
      <c r="H236" s="113">
        <f>E236*$H$279/100</f>
        <v>0</v>
      </c>
      <c r="I236" s="113">
        <f>F236+G236+H236</f>
        <v>0</v>
      </c>
      <c r="J236" s="113">
        <f>X236*$J$279/100</f>
        <v>522.8832764606358</v>
      </c>
      <c r="K236" s="113">
        <f>R236*$K$279/100</f>
        <v>399.62975811919983</v>
      </c>
      <c r="L236" s="113">
        <f>R236*$L$279/100</f>
        <v>610.3436305820507</v>
      </c>
      <c r="M236" s="113">
        <f>R236*$M$279/100</f>
        <v>900.9834546687415</v>
      </c>
      <c r="N236" s="113">
        <v>44.84</v>
      </c>
      <c r="O236" s="122">
        <v>275</v>
      </c>
      <c r="P236" s="113">
        <v>550</v>
      </c>
      <c r="Q236" s="113"/>
      <c r="R236" s="113">
        <f>Y236*$R$279/100</f>
        <v>2032.3014888046607</v>
      </c>
      <c r="S236" s="112">
        <f>I236+J236+K236+L236+M236+N236+O236+P236</f>
        <v>3303.680119830628</v>
      </c>
      <c r="U236" s="31">
        <v>0</v>
      </c>
      <c r="V236" s="31">
        <v>0</v>
      </c>
      <c r="W236" s="31">
        <v>0</v>
      </c>
      <c r="X236" s="31">
        <v>121.274288</v>
      </c>
      <c r="Y236" s="31">
        <v>3035.51072</v>
      </c>
      <c r="Z236" s="31">
        <v>3156.785008</v>
      </c>
      <c r="AG236" s="13">
        <v>399.62975811919983</v>
      </c>
      <c r="AH236" s="13">
        <v>277.14</v>
      </c>
    </row>
    <row r="237" spans="1:26" ht="14.25">
      <c r="A237" s="3"/>
      <c r="B237" s="3"/>
      <c r="C237" s="101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U237" s="10"/>
      <c r="V237" s="10"/>
      <c r="W237" s="10"/>
      <c r="X237" s="10"/>
      <c r="Y237" s="10"/>
      <c r="Z237" s="10"/>
    </row>
    <row r="238" spans="1:34" ht="14.25">
      <c r="A238" s="3">
        <v>1</v>
      </c>
      <c r="B238" s="3">
        <v>126</v>
      </c>
      <c r="C238" s="117" t="s">
        <v>184</v>
      </c>
      <c r="D238" s="113">
        <f>U238*$E$279/100</f>
        <v>0</v>
      </c>
      <c r="E238" s="113">
        <f>V238*$E$279/100</f>
        <v>0</v>
      </c>
      <c r="F238" s="113">
        <f>D238+E238</f>
        <v>0</v>
      </c>
      <c r="G238" s="113">
        <f>E238*$G$279/100</f>
        <v>0</v>
      </c>
      <c r="H238" s="113">
        <f>E238*$H$279/100</f>
        <v>0</v>
      </c>
      <c r="I238" s="113">
        <f>F238+G238+H238</f>
        <v>0</v>
      </c>
      <c r="J238" s="113">
        <f>X238*$J$279/100</f>
        <v>522.8832764606358</v>
      </c>
      <c r="K238" s="113">
        <f>R238*$K$279/100</f>
        <v>399.62975811919983</v>
      </c>
      <c r="L238" s="113">
        <f>R238*$L$279/100</f>
        <v>610.3436305820507</v>
      </c>
      <c r="M238" s="113">
        <f>R238*$M$279/100</f>
        <v>900.9834546687415</v>
      </c>
      <c r="N238" s="113">
        <v>44.84</v>
      </c>
      <c r="O238" s="122">
        <v>275</v>
      </c>
      <c r="P238" s="113">
        <v>550</v>
      </c>
      <c r="Q238" s="113"/>
      <c r="R238" s="113">
        <f>Y238*$R$279/100</f>
        <v>2032.3014888046607</v>
      </c>
      <c r="S238" s="112">
        <f>I238+J238+K238+L238+M238+N238+O238+P238</f>
        <v>3303.680119830628</v>
      </c>
      <c r="U238" s="31">
        <v>0</v>
      </c>
      <c r="V238" s="31">
        <v>0</v>
      </c>
      <c r="W238" s="31">
        <v>0</v>
      </c>
      <c r="X238" s="31">
        <v>121.274288</v>
      </c>
      <c r="Y238" s="31">
        <v>3035.51072</v>
      </c>
      <c r="Z238" s="31">
        <v>3156.785008</v>
      </c>
      <c r="AG238" s="13">
        <v>399.62975811919983</v>
      </c>
      <c r="AH238" s="13">
        <v>277.14</v>
      </c>
    </row>
    <row r="239" spans="1:26" ht="14.25">
      <c r="A239" s="3"/>
      <c r="B239" s="3"/>
      <c r="C239" s="101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U239" s="10"/>
      <c r="V239" s="10"/>
      <c r="W239" s="10"/>
      <c r="X239" s="10"/>
      <c r="Y239" s="10"/>
      <c r="Z239" s="10"/>
    </row>
    <row r="240" spans="1:34" ht="14.25">
      <c r="A240" s="3">
        <v>1</v>
      </c>
      <c r="B240" s="3">
        <v>127</v>
      </c>
      <c r="C240" s="117" t="s">
        <v>185</v>
      </c>
      <c r="D240" s="113">
        <f>U240*$E$279/100</f>
        <v>0</v>
      </c>
      <c r="E240" s="113">
        <f>V240*$E$279/100</f>
        <v>0</v>
      </c>
      <c r="F240" s="113">
        <f>D240+E240</f>
        <v>0</v>
      </c>
      <c r="G240" s="113">
        <f>E240*$G$279/100</f>
        <v>0</v>
      </c>
      <c r="H240" s="113">
        <f>E240*$H$279/100</f>
        <v>0</v>
      </c>
      <c r="I240" s="113">
        <f>F240+G240+H240</f>
        <v>0</v>
      </c>
      <c r="J240" s="113">
        <f>X240*$J$279/100</f>
        <v>0</v>
      </c>
      <c r="K240" s="113">
        <f>R240*$K$279/100-1000</f>
        <v>41638.63580880783</v>
      </c>
      <c r="L240" s="113">
        <f>R240*$L$279/100-2521</f>
        <v>62599.825598906486</v>
      </c>
      <c r="M240" s="113">
        <f>R240*$M$279/100</f>
        <v>96130.74255076674</v>
      </c>
      <c r="N240" s="113">
        <v>44.84</v>
      </c>
      <c r="O240" s="122">
        <v>275</v>
      </c>
      <c r="P240" s="113">
        <v>550</v>
      </c>
      <c r="Q240" s="113"/>
      <c r="R240" s="113">
        <f>Y240*$R$279/100</f>
        <v>216837.11303849626</v>
      </c>
      <c r="S240" s="112">
        <f>I240+J240+K240+L240+M240+N240+O240+P240</f>
        <v>201239.04395848105</v>
      </c>
      <c r="U240" s="31">
        <v>0</v>
      </c>
      <c r="V240" s="31">
        <v>0</v>
      </c>
      <c r="W240" s="31">
        <v>0</v>
      </c>
      <c r="X240" s="31">
        <v>0</v>
      </c>
      <c r="Y240" s="31">
        <v>323874.870312351</v>
      </c>
      <c r="Z240" s="31">
        <v>323874.870312351</v>
      </c>
      <c r="AG240" s="13">
        <v>41638.63580880783</v>
      </c>
      <c r="AH240" s="13">
        <v>277.14</v>
      </c>
    </row>
    <row r="241" spans="1:26" ht="14.25">
      <c r="A241" s="3"/>
      <c r="B241" s="3"/>
      <c r="C241" s="101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U241" s="10"/>
      <c r="V241" s="10"/>
      <c r="W241" s="10"/>
      <c r="X241" s="10"/>
      <c r="Y241" s="10"/>
      <c r="Z241" s="10"/>
    </row>
    <row r="242" spans="1:34" ht="14.25">
      <c r="A242" s="3">
        <v>2</v>
      </c>
      <c r="B242" s="3">
        <v>128</v>
      </c>
      <c r="C242" s="117" t="s">
        <v>186</v>
      </c>
      <c r="D242" s="113">
        <f>U242*$E$279/100</f>
        <v>0</v>
      </c>
      <c r="E242" s="113">
        <f>V242*$E$279/100</f>
        <v>0</v>
      </c>
      <c r="F242" s="113">
        <f>D242+E242</f>
        <v>0</v>
      </c>
      <c r="G242" s="113">
        <f>E242*$G$279/100</f>
        <v>0</v>
      </c>
      <c r="H242" s="113">
        <f>E242*$H$279/100</f>
        <v>0</v>
      </c>
      <c r="I242" s="113">
        <f>F242+G242+H242</f>
        <v>0</v>
      </c>
      <c r="J242" s="113">
        <f>X242*$J$279/100</f>
        <v>1045.7665529212716</v>
      </c>
      <c r="K242" s="113">
        <f>R242*$K$279/100</f>
        <v>394.95471600825033</v>
      </c>
      <c r="L242" s="113">
        <f>R242*$L$279/100</f>
        <v>603.2035662671459</v>
      </c>
      <c r="M242" s="113">
        <f>R242*$M$279/100</f>
        <v>890.4433597276916</v>
      </c>
      <c r="N242" s="113">
        <v>44.84</v>
      </c>
      <c r="O242" s="122">
        <v>277.14</v>
      </c>
      <c r="P242" s="113">
        <v>550</v>
      </c>
      <c r="Q242" s="113"/>
      <c r="R242" s="113">
        <f>Y242*$R$279/100</f>
        <v>2008.5267451844088</v>
      </c>
      <c r="S242" s="112">
        <f>I242+J242+K242+L242+M242+N242+O242+P242</f>
        <v>3806.3481949243596</v>
      </c>
      <c r="U242" s="31">
        <v>0</v>
      </c>
      <c r="V242" s="31">
        <v>0</v>
      </c>
      <c r="W242" s="31">
        <v>0</v>
      </c>
      <c r="X242" s="31">
        <v>242.548576</v>
      </c>
      <c r="Y242" s="31">
        <v>3000</v>
      </c>
      <c r="Z242" s="31">
        <v>3242.548576</v>
      </c>
      <c r="AG242" s="13">
        <v>394.95471600825033</v>
      </c>
      <c r="AH242" s="13">
        <v>277.14</v>
      </c>
    </row>
    <row r="243" spans="1:34" ht="14.25">
      <c r="A243" s="3"/>
      <c r="B243" s="3">
        <v>129</v>
      </c>
      <c r="C243" s="117" t="s">
        <v>112</v>
      </c>
      <c r="D243" s="113">
        <f>U243*$E$279/100</f>
        <v>0</v>
      </c>
      <c r="E243" s="113">
        <f>V243*$E$279/100</f>
        <v>0</v>
      </c>
      <c r="F243" s="113">
        <f>D243+E243</f>
        <v>0</v>
      </c>
      <c r="G243" s="113">
        <f>E243*$G$279/100</f>
        <v>0</v>
      </c>
      <c r="H243" s="113">
        <f>E243*$H$279/100</f>
        <v>0</v>
      </c>
      <c r="I243" s="113">
        <f>F243+G243+H243</f>
        <v>0</v>
      </c>
      <c r="J243" s="113">
        <f>X243*$J$279/100</f>
        <v>0</v>
      </c>
      <c r="K243" s="113">
        <f>R243*$K$279/100</f>
        <v>104.53134817018359</v>
      </c>
      <c r="L243" s="113">
        <f>R243*$L$279/100</f>
        <v>159.6478772053713</v>
      </c>
      <c r="M243" s="113">
        <f>R243*$M$279/100</f>
        <v>235.67067587459573</v>
      </c>
      <c r="N243" s="113">
        <v>44.84</v>
      </c>
      <c r="O243" s="122">
        <v>277.14</v>
      </c>
      <c r="P243" s="113">
        <v>550</v>
      </c>
      <c r="Q243" s="113"/>
      <c r="R243" s="113">
        <f>Y243*$R$279/100</f>
        <v>531.5900785588069</v>
      </c>
      <c r="S243" s="112">
        <f>I243+J243+K243+L243+M243+N243+O243+P243</f>
        <v>1371.8299012501507</v>
      </c>
      <c r="U243" s="31">
        <v>0</v>
      </c>
      <c r="V243" s="31">
        <v>0</v>
      </c>
      <c r="W243" s="31">
        <v>0</v>
      </c>
      <c r="X243" s="31">
        <v>0</v>
      </c>
      <c r="Y243" s="31">
        <v>794</v>
      </c>
      <c r="Z243" s="31">
        <v>794</v>
      </c>
      <c r="AG243" s="13">
        <v>104.53134817018359</v>
      </c>
      <c r="AH243" s="13">
        <v>277.14</v>
      </c>
    </row>
    <row r="244" spans="1:26" ht="14.25">
      <c r="A244" s="3"/>
      <c r="B244" s="3"/>
      <c r="C244" s="101" t="s">
        <v>17</v>
      </c>
      <c r="D244" s="113">
        <f>SUM(D242:D243)</f>
        <v>0</v>
      </c>
      <c r="E244" s="113">
        <f>SUM(E242:E243)</f>
        <v>0</v>
      </c>
      <c r="F244" s="113">
        <f>D244+E244</f>
        <v>0</v>
      </c>
      <c r="G244" s="113">
        <f aca="true" t="shared" si="99" ref="G244:P244">SUM(G242:G243)</f>
        <v>0</v>
      </c>
      <c r="H244" s="113">
        <f t="shared" si="99"/>
        <v>0</v>
      </c>
      <c r="I244" s="113">
        <f t="shared" si="99"/>
        <v>0</v>
      </c>
      <c r="J244" s="113">
        <f t="shared" si="99"/>
        <v>1045.7665529212716</v>
      </c>
      <c r="K244" s="113">
        <f t="shared" si="99"/>
        <v>499.48606417843394</v>
      </c>
      <c r="L244" s="113">
        <f t="shared" si="99"/>
        <v>762.8514434725172</v>
      </c>
      <c r="M244" s="113">
        <f t="shared" si="99"/>
        <v>1126.1140356022872</v>
      </c>
      <c r="N244" s="113">
        <f t="shared" si="99"/>
        <v>89.68</v>
      </c>
      <c r="O244" s="113">
        <f t="shared" si="99"/>
        <v>554.28</v>
      </c>
      <c r="P244" s="113">
        <f t="shared" si="99"/>
        <v>1100</v>
      </c>
      <c r="Q244" s="113"/>
      <c r="R244" s="113">
        <f>SUM(R242:R243)</f>
        <v>2540.1168237432157</v>
      </c>
      <c r="S244" s="113">
        <f>SUM(S242:S243)</f>
        <v>5178.17809617451</v>
      </c>
      <c r="U244" s="31">
        <v>0</v>
      </c>
      <c r="V244" s="31">
        <v>0</v>
      </c>
      <c r="W244" s="31">
        <v>0</v>
      </c>
      <c r="X244" s="31">
        <v>242.548576</v>
      </c>
      <c r="Y244" s="31">
        <v>3794</v>
      </c>
      <c r="Z244" s="31">
        <v>4036.548576</v>
      </c>
    </row>
    <row r="245" spans="1:26" ht="14.25">
      <c r="A245" s="3"/>
      <c r="B245" s="3"/>
      <c r="C245" s="101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U245" s="10"/>
      <c r="V245" s="10"/>
      <c r="W245" s="10"/>
      <c r="X245" s="10"/>
      <c r="Y245" s="10"/>
      <c r="Z245" s="10"/>
    </row>
    <row r="246" spans="1:34" ht="14.25">
      <c r="A246" s="3">
        <v>1</v>
      </c>
      <c r="B246" s="3">
        <v>130</v>
      </c>
      <c r="C246" s="117" t="s">
        <v>187</v>
      </c>
      <c r="D246" s="113">
        <f>U246*$E$279/100</f>
        <v>0</v>
      </c>
      <c r="E246" s="113">
        <f>V246*$E$279/100</f>
        <v>0</v>
      </c>
      <c r="F246" s="113">
        <f>D246+E246</f>
        <v>0</v>
      </c>
      <c r="G246" s="113">
        <f>E246*$G$279/100</f>
        <v>0</v>
      </c>
      <c r="H246" s="113">
        <f>E246*$H$279/100</f>
        <v>0</v>
      </c>
      <c r="I246" s="113">
        <f>F246+G246+H246</f>
        <v>0</v>
      </c>
      <c r="J246" s="113">
        <f>X246*$J$279/100</f>
        <v>2614.416382303179</v>
      </c>
      <c r="K246" s="113">
        <f>R246*$K$279/100</f>
        <v>599.4446371787997</v>
      </c>
      <c r="L246" s="113">
        <f>R246*$L$279/100</f>
        <v>915.5154458730758</v>
      </c>
      <c r="M246" s="113">
        <f>R246*$M$279/100</f>
        <v>1351.475182003112</v>
      </c>
      <c r="N246" s="113">
        <v>44.84</v>
      </c>
      <c r="O246" s="122">
        <v>275</v>
      </c>
      <c r="P246" s="113">
        <v>550</v>
      </c>
      <c r="Q246" s="113"/>
      <c r="R246" s="113">
        <f>Y246*$R$279/100</f>
        <v>3048.4522332069905</v>
      </c>
      <c r="S246" s="112">
        <f>I246+J246+K246+L246+M246+N246+O246+P246</f>
        <v>6350.691647358166</v>
      </c>
      <c r="U246" s="31">
        <v>0</v>
      </c>
      <c r="V246" s="31">
        <v>0</v>
      </c>
      <c r="W246" s="31">
        <v>0</v>
      </c>
      <c r="X246" s="31">
        <v>606.37144</v>
      </c>
      <c r="Y246" s="31">
        <v>4553.26608</v>
      </c>
      <c r="Z246" s="31">
        <v>5158.63752</v>
      </c>
      <c r="AG246" s="13">
        <v>599.4446371787997</v>
      </c>
      <c r="AH246" s="13">
        <v>277.14</v>
      </c>
    </row>
    <row r="247" spans="1:26" ht="14.25">
      <c r="A247" s="3"/>
      <c r="B247" s="3"/>
      <c r="C247" s="101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U247" s="10"/>
      <c r="V247" s="10"/>
      <c r="W247" s="10"/>
      <c r="X247" s="10"/>
      <c r="Y247" s="10"/>
      <c r="Z247" s="10"/>
    </row>
    <row r="248" spans="1:26" ht="14.25">
      <c r="A248" s="3"/>
      <c r="B248" s="3"/>
      <c r="C248" s="117" t="s">
        <v>188</v>
      </c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U248" s="10"/>
      <c r="V248" s="10"/>
      <c r="W248" s="10"/>
      <c r="X248" s="10"/>
      <c r="Y248" s="10"/>
      <c r="Z248" s="10"/>
    </row>
    <row r="249" spans="1:34" ht="14.25">
      <c r="A249" s="3">
        <v>1</v>
      </c>
      <c r="B249" s="3">
        <v>131</v>
      </c>
      <c r="C249" s="117" t="s">
        <v>189</v>
      </c>
      <c r="D249" s="113">
        <f>U249*$E$279/100</f>
        <v>0</v>
      </c>
      <c r="E249" s="113">
        <f>V249*$E$279/100</f>
        <v>0</v>
      </c>
      <c r="F249" s="113">
        <f>D249+E249</f>
        <v>0</v>
      </c>
      <c r="G249" s="113">
        <f>E249*$G$279/100</f>
        <v>0</v>
      </c>
      <c r="H249" s="113">
        <f>E249*$H$279/100</f>
        <v>0</v>
      </c>
      <c r="I249" s="113">
        <f>F249+G249+H249</f>
        <v>0</v>
      </c>
      <c r="J249" s="113">
        <f>X249*$J$279/100</f>
        <v>1045.7665529212716</v>
      </c>
      <c r="K249" s="113">
        <f>R249*$K$279/100</f>
        <v>480.35496925927805</v>
      </c>
      <c r="L249" s="113">
        <f>R249*$L$279/100</f>
        <v>733.6330439596246</v>
      </c>
      <c r="M249" s="113">
        <f>R249*$M$279/100</f>
        <v>1082.982112511827</v>
      </c>
      <c r="N249" s="113">
        <v>44.84</v>
      </c>
      <c r="O249" s="122">
        <v>277.14</v>
      </c>
      <c r="P249" s="113">
        <v>550</v>
      </c>
      <c r="Q249" s="113"/>
      <c r="R249" s="113">
        <f>Y249*$R$279/100</f>
        <v>2442.8263895432015</v>
      </c>
      <c r="S249" s="112">
        <f>I249+J249+K249+L249+M249+N249+O249+P249</f>
        <v>4214.716678652001</v>
      </c>
      <c r="U249" s="31">
        <v>0</v>
      </c>
      <c r="V249" s="31">
        <v>0</v>
      </c>
      <c r="W249" s="31">
        <v>0</v>
      </c>
      <c r="X249" s="31">
        <v>242.548576</v>
      </c>
      <c r="Y249" s="31">
        <v>3648.68388544</v>
      </c>
      <c r="Z249" s="31">
        <v>3892.23246144</v>
      </c>
      <c r="AG249" s="13">
        <v>480.35496925927805</v>
      </c>
      <c r="AH249" s="13">
        <v>277.14</v>
      </c>
    </row>
    <row r="250" spans="1:26" ht="14.25">
      <c r="A250" s="3"/>
      <c r="B250" s="3"/>
      <c r="C250" s="101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3"/>
      <c r="U250" s="10"/>
      <c r="V250" s="10"/>
      <c r="W250" s="10"/>
      <c r="X250" s="10"/>
      <c r="Y250" s="10"/>
      <c r="Z250" s="10"/>
    </row>
    <row r="251" spans="1:34" ht="14.25">
      <c r="A251" s="3">
        <v>1</v>
      </c>
      <c r="B251" s="3">
        <v>132</v>
      </c>
      <c r="C251" s="117" t="s">
        <v>190</v>
      </c>
      <c r="D251" s="113">
        <f>U251*$E$279/100</f>
        <v>0</v>
      </c>
      <c r="E251" s="113">
        <f>V251*$E$279/100</f>
        <v>0</v>
      </c>
      <c r="F251" s="113">
        <f>D251+E251</f>
        <v>0</v>
      </c>
      <c r="G251" s="113">
        <f>E251*$G$279/100</f>
        <v>0</v>
      </c>
      <c r="H251" s="113">
        <f>E251*$H$279/100</f>
        <v>0</v>
      </c>
      <c r="I251" s="113">
        <f>F251+G251+H251</f>
        <v>0</v>
      </c>
      <c r="J251" s="113">
        <f>X251*$J$279/100</f>
        <v>522.8832764606358</v>
      </c>
      <c r="K251" s="113">
        <f>R251*$K$279/100</f>
        <v>399.62975811919983</v>
      </c>
      <c r="L251" s="113">
        <f>R251*$L$279/100</f>
        <v>610.3436305820507</v>
      </c>
      <c r="M251" s="113">
        <f>R251*$M$279/100</f>
        <v>900.9834546687415</v>
      </c>
      <c r="N251" s="113">
        <v>44.84</v>
      </c>
      <c r="O251" s="122">
        <v>277.14</v>
      </c>
      <c r="P251" s="113">
        <v>550</v>
      </c>
      <c r="Q251" s="113"/>
      <c r="R251" s="113">
        <f>Y251*$R$279/100</f>
        <v>2032.3014888046607</v>
      </c>
      <c r="S251" s="112">
        <f>I251+J251+K251+L251+M251+N251+O251+P251</f>
        <v>3305.820119830628</v>
      </c>
      <c r="U251" s="31">
        <v>0</v>
      </c>
      <c r="V251" s="31">
        <v>0</v>
      </c>
      <c r="W251" s="31">
        <v>0</v>
      </c>
      <c r="X251" s="31">
        <v>121.274288</v>
      </c>
      <c r="Y251" s="31">
        <v>3035.51072</v>
      </c>
      <c r="Z251" s="31">
        <v>3156.785008</v>
      </c>
      <c r="AG251" s="13">
        <v>399.62975811919983</v>
      </c>
      <c r="AH251" s="13">
        <v>277.14</v>
      </c>
    </row>
    <row r="252" spans="1:26" ht="14.25">
      <c r="A252" s="3"/>
      <c r="B252" s="3"/>
      <c r="C252" s="101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U252" s="10"/>
      <c r="V252" s="10"/>
      <c r="W252" s="10"/>
      <c r="X252" s="10"/>
      <c r="Y252" s="10"/>
      <c r="Z252" s="10"/>
    </row>
    <row r="253" spans="1:34" ht="14.25">
      <c r="A253" s="3">
        <v>1</v>
      </c>
      <c r="B253" s="3">
        <v>133</v>
      </c>
      <c r="C253" s="117" t="s">
        <v>191</v>
      </c>
      <c r="D253" s="113">
        <f>U253*$E$279/100</f>
        <v>0</v>
      </c>
      <c r="E253" s="113">
        <f>V253*$E$279/100</f>
        <v>0</v>
      </c>
      <c r="F253" s="113">
        <f>D253+E253</f>
        <v>0</v>
      </c>
      <c r="G253" s="113">
        <f>E253*$G$279/100</f>
        <v>0</v>
      </c>
      <c r="H253" s="113">
        <f>E253*$H$279/100</f>
        <v>0</v>
      </c>
      <c r="I253" s="113">
        <f>F253+G253+H253</f>
        <v>0</v>
      </c>
      <c r="J253" s="113">
        <f>X253*$J$279/100</f>
        <v>522.8832764606358</v>
      </c>
      <c r="K253" s="113">
        <f>R253*$K$279/100</f>
        <v>399.62975811919983</v>
      </c>
      <c r="L253" s="113">
        <f>R253*$L$279/100</f>
        <v>610.3436305820507</v>
      </c>
      <c r="M253" s="113">
        <f>R253*$M$279/100</f>
        <v>900.9834546687415</v>
      </c>
      <c r="N253" s="113">
        <v>44.84</v>
      </c>
      <c r="O253" s="122">
        <v>277.14</v>
      </c>
      <c r="P253" s="113">
        <v>550</v>
      </c>
      <c r="Q253" s="113"/>
      <c r="R253" s="113">
        <f>Y253*$R$279/100</f>
        <v>2032.3014888046607</v>
      </c>
      <c r="S253" s="112">
        <f>I253+J253+K253+L253+M253+N253+O253+P253</f>
        <v>3305.820119830628</v>
      </c>
      <c r="U253" s="31">
        <v>0</v>
      </c>
      <c r="V253" s="31">
        <v>0</v>
      </c>
      <c r="W253" s="31">
        <v>0</v>
      </c>
      <c r="X253" s="31">
        <v>121.274288</v>
      </c>
      <c r="Y253" s="31">
        <v>3035.51072</v>
      </c>
      <c r="Z253" s="31">
        <v>3156.785008</v>
      </c>
      <c r="AG253" s="13">
        <v>399.62975811919983</v>
      </c>
      <c r="AH253" s="13">
        <v>277.14</v>
      </c>
    </row>
    <row r="254" spans="1:26" ht="14.25">
      <c r="A254" s="3"/>
      <c r="B254" s="3"/>
      <c r="C254" s="101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U254" s="10"/>
      <c r="V254" s="10"/>
      <c r="W254" s="10"/>
      <c r="X254" s="10"/>
      <c r="Y254" s="10"/>
      <c r="Z254" s="10"/>
    </row>
    <row r="255" spans="1:34" ht="14.25">
      <c r="A255" s="3">
        <v>1</v>
      </c>
      <c r="B255" s="3">
        <v>134</v>
      </c>
      <c r="C255" s="117" t="s">
        <v>192</v>
      </c>
      <c r="D255" s="113">
        <f>U255*$E$279/100</f>
        <v>0</v>
      </c>
      <c r="E255" s="113">
        <f>V255*$E$279/100</f>
        <v>0</v>
      </c>
      <c r="F255" s="113">
        <f>D255+E255</f>
        <v>0</v>
      </c>
      <c r="G255" s="113">
        <f>E255*$G$279/100</f>
        <v>0</v>
      </c>
      <c r="H255" s="113">
        <f>E255*$H$279/100</f>
        <v>0</v>
      </c>
      <c r="I255" s="113">
        <f>F255+G255+H255</f>
        <v>0</v>
      </c>
      <c r="J255" s="113">
        <f>X255*$J$279/100</f>
        <v>522.8832764606358</v>
      </c>
      <c r="K255" s="113">
        <f>R255*$K$279/100</f>
        <v>399.62975811919983</v>
      </c>
      <c r="L255" s="113">
        <f>R255*$L$279/100</f>
        <v>610.3436305820507</v>
      </c>
      <c r="M255" s="113">
        <f>R255*$M$279/100</f>
        <v>900.9834546687415</v>
      </c>
      <c r="N255" s="113">
        <v>44.84</v>
      </c>
      <c r="O255" s="122">
        <v>277.14</v>
      </c>
      <c r="P255" s="113">
        <v>550</v>
      </c>
      <c r="Q255" s="113"/>
      <c r="R255" s="113">
        <f>Y255*$R$279/100</f>
        <v>2032.3014888046607</v>
      </c>
      <c r="S255" s="112">
        <f>I255+J255+K255+L255+M255+N255+O255+P255</f>
        <v>3305.820119830628</v>
      </c>
      <c r="U255" s="31">
        <v>0</v>
      </c>
      <c r="V255" s="31">
        <v>0</v>
      </c>
      <c r="W255" s="31">
        <v>0</v>
      </c>
      <c r="X255" s="31">
        <v>121.274288</v>
      </c>
      <c r="Y255" s="31">
        <v>3035.51072</v>
      </c>
      <c r="Z255" s="31">
        <v>3156.785008</v>
      </c>
      <c r="AG255" s="13">
        <v>399.62975811919983</v>
      </c>
      <c r="AH255" s="13">
        <v>277.14</v>
      </c>
    </row>
    <row r="256" spans="1:26" ht="14.25">
      <c r="A256" s="3"/>
      <c r="B256" s="3"/>
      <c r="C256" s="101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U256" s="10"/>
      <c r="V256" s="10"/>
      <c r="W256" s="10"/>
      <c r="X256" s="10"/>
      <c r="Y256" s="10"/>
      <c r="Z256" s="10"/>
    </row>
    <row r="257" spans="1:34" ht="14.25">
      <c r="A257" s="3">
        <v>1</v>
      </c>
      <c r="B257" s="3">
        <v>135</v>
      </c>
      <c r="C257" s="117" t="s">
        <v>193</v>
      </c>
      <c r="D257" s="113">
        <f>U257*$E$279/100</f>
        <v>0</v>
      </c>
      <c r="E257" s="113">
        <f>V257*$E$279/100</f>
        <v>0</v>
      </c>
      <c r="F257" s="113">
        <f>D257+E257</f>
        <v>0</v>
      </c>
      <c r="G257" s="113">
        <f>E257*$G$279/100</f>
        <v>0</v>
      </c>
      <c r="H257" s="113">
        <f>E257*$H$279/100</f>
        <v>0</v>
      </c>
      <c r="I257" s="113">
        <f>F257+G257+H257</f>
        <v>0</v>
      </c>
      <c r="J257" s="113">
        <f>X257*$J$279/100</f>
        <v>1045.7665529212716</v>
      </c>
      <c r="K257" s="113">
        <f>R257*$K$279/100</f>
        <v>499.5371976489997</v>
      </c>
      <c r="L257" s="113">
        <f>R257*$L$279/100</f>
        <v>762.9295382275632</v>
      </c>
      <c r="M257" s="113">
        <f>R257*$M$279/100</f>
        <v>1126.2293183359266</v>
      </c>
      <c r="N257" s="113">
        <v>44.84</v>
      </c>
      <c r="O257" s="122">
        <v>277.14</v>
      </c>
      <c r="P257" s="113">
        <v>550</v>
      </c>
      <c r="Q257" s="113"/>
      <c r="R257" s="113">
        <f>Y257*$R$279/100</f>
        <v>2540.3768610058255</v>
      </c>
      <c r="S257" s="112">
        <f>I257+J257+K257+L257+M257+N257+O257+P257</f>
        <v>4306.442607133761</v>
      </c>
      <c r="U257" s="31">
        <v>0</v>
      </c>
      <c r="V257" s="31">
        <v>0</v>
      </c>
      <c r="W257" s="31">
        <v>0</v>
      </c>
      <c r="X257" s="31">
        <v>242.548576</v>
      </c>
      <c r="Y257" s="31">
        <v>3794.3884</v>
      </c>
      <c r="Z257" s="31">
        <v>4036.936976</v>
      </c>
      <c r="AG257" s="13">
        <v>499.5371976489997</v>
      </c>
      <c r="AH257" s="13">
        <v>277.14</v>
      </c>
    </row>
    <row r="258" spans="1:26" ht="14.25">
      <c r="A258" s="3"/>
      <c r="B258" s="3"/>
      <c r="C258" s="101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U258" s="10"/>
      <c r="V258" s="10"/>
      <c r="W258" s="10"/>
      <c r="X258" s="10"/>
      <c r="Y258" s="10"/>
      <c r="Z258" s="10"/>
    </row>
    <row r="259" spans="1:34" ht="14.25">
      <c r="A259" s="3">
        <v>1</v>
      </c>
      <c r="B259" s="3">
        <v>136</v>
      </c>
      <c r="C259" s="117" t="s">
        <v>194</v>
      </c>
      <c r="D259" s="113">
        <f>U259*$E$279/100</f>
        <v>0</v>
      </c>
      <c r="E259" s="113">
        <f>V259*$E$279/100</f>
        <v>0</v>
      </c>
      <c r="F259" s="113">
        <f>D259+E259</f>
        <v>0</v>
      </c>
      <c r="G259" s="113">
        <f>E259*$G$279/100</f>
        <v>0</v>
      </c>
      <c r="H259" s="113">
        <f>E259*$H$279/100</f>
        <v>0</v>
      </c>
      <c r="I259" s="113">
        <f>F259+G259+H259</f>
        <v>0</v>
      </c>
      <c r="J259" s="113">
        <f>X259*$J$279/100</f>
        <v>522.8832764606358</v>
      </c>
      <c r="K259" s="113">
        <f>R259*$K$279/100</f>
        <v>199.81487905959992</v>
      </c>
      <c r="L259" s="113">
        <f>R259*$L$279/100</f>
        <v>305.1718152910253</v>
      </c>
      <c r="M259" s="113">
        <f>R259*$M$279/100</f>
        <v>450.49172733437075</v>
      </c>
      <c r="N259" s="113">
        <v>44.84</v>
      </c>
      <c r="O259" s="122">
        <v>277.14</v>
      </c>
      <c r="P259" s="113">
        <v>550</v>
      </c>
      <c r="Q259" s="113"/>
      <c r="R259" s="113">
        <f>Y259*$R$279/100</f>
        <v>1016.1507444023304</v>
      </c>
      <c r="S259" s="112">
        <f>I259+J259+K259+L259+M259+N259+O259+P259</f>
        <v>2350.3416981456317</v>
      </c>
      <c r="U259" s="31">
        <v>0</v>
      </c>
      <c r="V259" s="31">
        <v>0</v>
      </c>
      <c r="W259" s="31">
        <v>0</v>
      </c>
      <c r="X259" s="31">
        <v>121.274288</v>
      </c>
      <c r="Y259" s="31">
        <v>1517.75536</v>
      </c>
      <c r="Z259" s="31">
        <v>1639.029648</v>
      </c>
      <c r="AG259" s="13">
        <v>199.81487905959992</v>
      </c>
      <c r="AH259" s="13">
        <v>277.14</v>
      </c>
    </row>
    <row r="260" spans="1:26" ht="14.25">
      <c r="A260" s="3"/>
      <c r="B260" s="3"/>
      <c r="C260" s="101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U260" s="10"/>
      <c r="V260" s="10"/>
      <c r="W260" s="10"/>
      <c r="X260" s="10"/>
      <c r="Y260" s="10"/>
      <c r="Z260" s="10"/>
    </row>
    <row r="261" spans="1:34" ht="14.25">
      <c r="A261" s="3">
        <v>1</v>
      </c>
      <c r="B261" s="3">
        <v>137</v>
      </c>
      <c r="C261" s="117" t="s">
        <v>195</v>
      </c>
      <c r="D261" s="113">
        <f>U261*$E$279/100</f>
        <v>0</v>
      </c>
      <c r="E261" s="113">
        <f>V261*$E$279/100</f>
        <v>0</v>
      </c>
      <c r="F261" s="113">
        <f>D261+E261</f>
        <v>0</v>
      </c>
      <c r="G261" s="113">
        <f>E261*$G$279/100</f>
        <v>0</v>
      </c>
      <c r="H261" s="113">
        <f>E261*$H$279/100</f>
        <v>0</v>
      </c>
      <c r="I261" s="113">
        <f>F261+G261+H261</f>
        <v>0</v>
      </c>
      <c r="J261" s="113">
        <f>X261*$J$279/100</f>
        <v>522.8832764606358</v>
      </c>
      <c r="K261" s="113">
        <f>R261*$K$279/100</f>
        <v>171.9047457950169</v>
      </c>
      <c r="L261" s="113">
        <f>R261*$L$279/100</f>
        <v>262.54542994148034</v>
      </c>
      <c r="M261" s="113">
        <f>R261*$M$279/100</f>
        <v>387.56706324694716</v>
      </c>
      <c r="N261" s="113">
        <v>42</v>
      </c>
      <c r="O261" s="122">
        <v>276</v>
      </c>
      <c r="P261" s="113">
        <v>550</v>
      </c>
      <c r="Q261" s="113"/>
      <c r="R261" s="113">
        <f>Y261*$R$279/100</f>
        <v>874.2148544092987</v>
      </c>
      <c r="S261" s="112">
        <f>I261+J261+K261+L261+M261+N261+O261+P261</f>
        <v>2212.90051544408</v>
      </c>
      <c r="U261" s="31">
        <v>0</v>
      </c>
      <c r="V261" s="31">
        <v>0</v>
      </c>
      <c r="W261" s="31">
        <v>0</v>
      </c>
      <c r="X261" s="31">
        <v>121.274288</v>
      </c>
      <c r="Y261" s="31">
        <v>1305.75536</v>
      </c>
      <c r="Z261" s="31">
        <v>1427.029648</v>
      </c>
      <c r="AG261" s="13">
        <v>171.9047457950169</v>
      </c>
      <c r="AH261" s="13">
        <v>277.14</v>
      </c>
    </row>
    <row r="262" spans="1:26" ht="14.25">
      <c r="A262" s="3"/>
      <c r="B262" s="3"/>
      <c r="C262" s="101"/>
      <c r="D262" s="112"/>
      <c r="E262" s="112"/>
      <c r="F262" s="113"/>
      <c r="G262" s="113"/>
      <c r="H262" s="113"/>
      <c r="I262" s="113"/>
      <c r="J262" s="112"/>
      <c r="K262" s="113"/>
      <c r="L262" s="113"/>
      <c r="M262" s="113"/>
      <c r="N262" s="113"/>
      <c r="O262" s="113"/>
      <c r="P262" s="112"/>
      <c r="Q262" s="112"/>
      <c r="R262" s="112"/>
      <c r="S262" s="112"/>
      <c r="U262" s="10"/>
      <c r="V262" s="10"/>
      <c r="W262" s="31"/>
      <c r="X262" s="10"/>
      <c r="Y262" s="10"/>
      <c r="Z262" s="10"/>
    </row>
    <row r="263" spans="1:34" ht="14.25">
      <c r="A263" s="3">
        <v>1</v>
      </c>
      <c r="B263" s="3">
        <v>138</v>
      </c>
      <c r="C263" s="117" t="s">
        <v>196</v>
      </c>
      <c r="D263" s="113">
        <f>U263*$E$279/100</f>
        <v>0</v>
      </c>
      <c r="E263" s="113">
        <f>V263*$E$279/100</f>
        <v>0</v>
      </c>
      <c r="F263" s="113">
        <f>D263+E263</f>
        <v>0</v>
      </c>
      <c r="G263" s="113">
        <f>E263*$G$279/100</f>
        <v>0</v>
      </c>
      <c r="H263" s="113">
        <f>E263*$H$279/100</f>
        <v>0</v>
      </c>
      <c r="I263" s="113">
        <f>F263+G263+H263</f>
        <v>0</v>
      </c>
      <c r="J263" s="113">
        <f>X263*$J$279/100</f>
        <v>0</v>
      </c>
      <c r="K263" s="113">
        <f>R263*$K$279/100</f>
        <v>658.2578600137505</v>
      </c>
      <c r="L263" s="113">
        <f>R263*$L$279/100</f>
        <v>1005.3392771119096</v>
      </c>
      <c r="M263" s="113">
        <f>R263*$M$279/100</f>
        <v>1484.0722662128192</v>
      </c>
      <c r="N263" s="113">
        <v>44.84</v>
      </c>
      <c r="O263" s="122">
        <v>277</v>
      </c>
      <c r="P263" s="113">
        <v>550</v>
      </c>
      <c r="Q263" s="113"/>
      <c r="R263" s="113">
        <f>Y263*$R$279/100</f>
        <v>3347.5445753073477</v>
      </c>
      <c r="S263" s="112">
        <f>I263+J263+K263+L263+M263+N263+O263+P263</f>
        <v>4019.5094033384794</v>
      </c>
      <c r="U263" s="10">
        <v>0</v>
      </c>
      <c r="V263" s="10">
        <v>0</v>
      </c>
      <c r="W263" s="31">
        <v>0</v>
      </c>
      <c r="X263" s="10">
        <v>0</v>
      </c>
      <c r="Y263" s="10">
        <v>5000</v>
      </c>
      <c r="Z263" s="31">
        <v>5000</v>
      </c>
      <c r="AG263" s="13">
        <v>658.2578600137505</v>
      </c>
      <c r="AH263" s="13">
        <v>277.14</v>
      </c>
    </row>
    <row r="264" spans="1:26" ht="14.25">
      <c r="A264" s="3"/>
      <c r="B264" s="3"/>
      <c r="C264" s="101"/>
      <c r="D264" s="112"/>
      <c r="E264" s="112"/>
      <c r="F264" s="113"/>
      <c r="G264" s="113"/>
      <c r="H264" s="113"/>
      <c r="I264" s="113"/>
      <c r="J264" s="112"/>
      <c r="K264" s="113"/>
      <c r="L264" s="113"/>
      <c r="M264" s="113"/>
      <c r="N264" s="113"/>
      <c r="O264" s="113"/>
      <c r="P264" s="112"/>
      <c r="Q264" s="112"/>
      <c r="R264" s="112"/>
      <c r="S264" s="112"/>
      <c r="U264" s="10"/>
      <c r="V264" s="10"/>
      <c r="W264" s="31"/>
      <c r="X264" s="10"/>
      <c r="Y264" s="10"/>
      <c r="Z264" s="10"/>
    </row>
    <row r="265" spans="1:34" ht="14.25">
      <c r="A265" s="3">
        <v>1</v>
      </c>
      <c r="B265" s="3">
        <v>139</v>
      </c>
      <c r="C265" s="117" t="s">
        <v>197</v>
      </c>
      <c r="D265" s="113">
        <v>200</v>
      </c>
      <c r="E265" s="113">
        <f>V265*$E$279/100</f>
        <v>0</v>
      </c>
      <c r="F265" s="113">
        <f>D265+E265-1</f>
        <v>199</v>
      </c>
      <c r="G265" s="113">
        <f>E265*$G$279/100</f>
        <v>0</v>
      </c>
      <c r="H265" s="113">
        <f>E265*$H$279/100</f>
        <v>0</v>
      </c>
      <c r="I265" s="113">
        <f>F265+G265+H265</f>
        <v>199</v>
      </c>
      <c r="J265" s="113">
        <f>X265*$J$279/100</f>
        <v>0</v>
      </c>
      <c r="K265" s="113">
        <f>R265*$K$279/100</f>
        <v>658.2578600137505</v>
      </c>
      <c r="L265" s="113">
        <f>R265*$L$279/100</f>
        <v>1005.3392771119096</v>
      </c>
      <c r="M265" s="113">
        <f>R265*$M$279/100</f>
        <v>1484.0722662128192</v>
      </c>
      <c r="N265" s="113">
        <v>44</v>
      </c>
      <c r="O265" s="122">
        <v>276</v>
      </c>
      <c r="P265" s="113">
        <v>550</v>
      </c>
      <c r="Q265" s="113"/>
      <c r="R265" s="113">
        <f>Y265*$R$279/100</f>
        <v>3347.5445753073477</v>
      </c>
      <c r="S265" s="112">
        <f>I265+J265+K265+L265+M265+N265+O265+P265</f>
        <v>4216.669403338479</v>
      </c>
      <c r="U265" s="10">
        <v>0</v>
      </c>
      <c r="V265" s="10">
        <v>0</v>
      </c>
      <c r="W265" s="31">
        <v>0</v>
      </c>
      <c r="X265" s="10">
        <v>0</v>
      </c>
      <c r="Y265" s="10">
        <v>5000</v>
      </c>
      <c r="Z265" s="31">
        <v>5000</v>
      </c>
      <c r="AG265" s="13">
        <v>658.2578600137505</v>
      </c>
      <c r="AH265" s="13">
        <v>277.14</v>
      </c>
    </row>
    <row r="266" spans="1:26" ht="14.25">
      <c r="A266" s="3"/>
      <c r="B266" s="3"/>
      <c r="C266" s="101"/>
      <c r="D266" s="112"/>
      <c r="E266" s="112"/>
      <c r="F266" s="113"/>
      <c r="G266" s="113"/>
      <c r="H266" s="113"/>
      <c r="I266" s="113"/>
      <c r="J266" s="112"/>
      <c r="K266" s="113"/>
      <c r="L266" s="113"/>
      <c r="M266" s="113"/>
      <c r="N266" s="113"/>
      <c r="O266" s="113"/>
      <c r="P266" s="112"/>
      <c r="Q266" s="112"/>
      <c r="R266" s="112"/>
      <c r="S266" s="112"/>
      <c r="U266" s="10"/>
      <c r="V266" s="10"/>
      <c r="W266" s="31"/>
      <c r="X266" s="10"/>
      <c r="Y266" s="10"/>
      <c r="Z266" s="10"/>
    </row>
    <row r="267" spans="1:34" ht="14.25">
      <c r="A267" s="3">
        <v>1</v>
      </c>
      <c r="B267" s="3">
        <v>140</v>
      </c>
      <c r="C267" s="117" t="s">
        <v>198</v>
      </c>
      <c r="D267" s="113">
        <f>U267*$E$279/100+50</f>
        <v>155.0321621909535</v>
      </c>
      <c r="E267" s="113">
        <f>V267*$E$279/100</f>
        <v>0</v>
      </c>
      <c r="F267" s="113">
        <f>D267+E267</f>
        <v>155.0321621909535</v>
      </c>
      <c r="G267" s="113">
        <f>E267*$G$279/100</f>
        <v>0</v>
      </c>
      <c r="H267" s="113">
        <f>E267*$H$279/100</f>
        <v>0</v>
      </c>
      <c r="I267" s="113">
        <f>F267+G267+H267</f>
        <v>155.0321621909535</v>
      </c>
      <c r="J267" s="113">
        <f>X267*$J$279/100</f>
        <v>254.3829678981707</v>
      </c>
      <c r="K267" s="113">
        <f>R267*$K$279/100</f>
        <v>67.66890800941356</v>
      </c>
      <c r="L267" s="113">
        <f>R267*$L$279/100</f>
        <v>103.34887768710433</v>
      </c>
      <c r="M267" s="113">
        <f>R267*$M$279/100</f>
        <v>152.56262896667783</v>
      </c>
      <c r="N267" s="113">
        <v>44</v>
      </c>
      <c r="O267" s="122">
        <v>276</v>
      </c>
      <c r="P267" s="113">
        <v>550</v>
      </c>
      <c r="Q267" s="113"/>
      <c r="R267" s="113">
        <f>Y267*$R$279/100</f>
        <v>344.1275823415954</v>
      </c>
      <c r="S267" s="112">
        <f>I267+J267+K267+L267+M267+N267+O267+P267</f>
        <v>1602.9955447523198</v>
      </c>
      <c r="U267" s="10">
        <v>118</v>
      </c>
      <c r="V267" s="10">
        <v>0</v>
      </c>
      <c r="W267" s="31">
        <v>118</v>
      </c>
      <c r="X267" s="10">
        <v>59</v>
      </c>
      <c r="Y267" s="10">
        <v>514</v>
      </c>
      <c r="Z267" s="31">
        <v>691</v>
      </c>
      <c r="AG267" s="13">
        <v>67.66890800941356</v>
      </c>
      <c r="AH267" s="13">
        <v>277.14</v>
      </c>
    </row>
    <row r="268" spans="1:26" ht="14.25">
      <c r="A268" s="3"/>
      <c r="B268" s="3"/>
      <c r="C268" s="101"/>
      <c r="D268" s="112"/>
      <c r="E268" s="112"/>
      <c r="F268" s="113"/>
      <c r="G268" s="113"/>
      <c r="H268" s="113"/>
      <c r="I268" s="113"/>
      <c r="J268" s="112"/>
      <c r="K268" s="113"/>
      <c r="L268" s="113"/>
      <c r="M268" s="113"/>
      <c r="N268" s="113"/>
      <c r="O268" s="113"/>
      <c r="P268" s="112"/>
      <c r="Q268" s="112"/>
      <c r="R268" s="112"/>
      <c r="S268" s="113"/>
      <c r="U268" s="10"/>
      <c r="V268" s="10"/>
      <c r="W268" s="31"/>
      <c r="X268" s="10"/>
      <c r="Y268" s="10"/>
      <c r="Z268" s="31"/>
    </row>
    <row r="269" spans="1:34" ht="14.25">
      <c r="A269" s="3"/>
      <c r="B269" s="16">
        <v>2</v>
      </c>
      <c r="C269" s="117" t="s">
        <v>199</v>
      </c>
      <c r="D269" s="113">
        <f>U269*$E$279/100</f>
        <v>0</v>
      </c>
      <c r="E269" s="113">
        <f>V269*$E$279/100</f>
        <v>0</v>
      </c>
      <c r="F269" s="113">
        <f>D269+E269</f>
        <v>0</v>
      </c>
      <c r="G269" s="113">
        <f>E269*$G$279/100</f>
        <v>0</v>
      </c>
      <c r="H269" s="113">
        <f>E269*$H$279/100</f>
        <v>0</v>
      </c>
      <c r="I269" s="113">
        <f>F269+G269+H269</f>
        <v>0</v>
      </c>
      <c r="J269" s="113">
        <f>X269*$J$279/100</f>
        <v>15978.871395540737</v>
      </c>
      <c r="K269" s="113">
        <f>R269*$K$279/100</f>
        <v>1392.1325014845736</v>
      </c>
      <c r="L269" s="113">
        <f>R269*$L$279/100</f>
        <v>2126.1660022673486</v>
      </c>
      <c r="M269" s="113">
        <f>R269*$M$279/100</f>
        <v>3138.6260033470385</v>
      </c>
      <c r="N269" s="113">
        <v>44.84</v>
      </c>
      <c r="O269" s="122">
        <v>277.14</v>
      </c>
      <c r="P269" s="113">
        <v>550</v>
      </c>
      <c r="Q269" s="113"/>
      <c r="R269" s="113">
        <f>Y269*$R$279/100</f>
        <v>7079.635332203074</v>
      </c>
      <c r="S269" s="112">
        <f>I269+J269+K269+L269+M269+N269+O269+P269</f>
        <v>23507.7759026397</v>
      </c>
      <c r="U269" s="31">
        <v>0</v>
      </c>
      <c r="V269" s="31">
        <v>0</v>
      </c>
      <c r="W269" s="31">
        <v>0</v>
      </c>
      <c r="X269" s="31">
        <v>3706.03983484573</v>
      </c>
      <c r="Y269" s="31">
        <v>10574.3705168632</v>
      </c>
      <c r="Z269" s="31">
        <v>14280.4103517089</v>
      </c>
      <c r="AG269" s="13">
        <v>1392.1325014845736</v>
      </c>
      <c r="AH269" s="13">
        <v>277.14</v>
      </c>
    </row>
    <row r="270" spans="1:26" ht="14.25">
      <c r="A270" s="3"/>
      <c r="B270" s="3"/>
      <c r="C270" s="101"/>
      <c r="D270" s="112"/>
      <c r="E270" s="112"/>
      <c r="F270" s="113"/>
      <c r="G270" s="113"/>
      <c r="H270" s="113"/>
      <c r="I270" s="113"/>
      <c r="J270" s="112"/>
      <c r="K270" s="113"/>
      <c r="L270" s="113"/>
      <c r="M270" s="113"/>
      <c r="N270" s="113"/>
      <c r="O270" s="113"/>
      <c r="P270" s="112"/>
      <c r="Q270" s="112"/>
      <c r="R270" s="112"/>
      <c r="S270" s="113"/>
      <c r="U270" s="10"/>
      <c r="V270" s="10"/>
      <c r="W270" s="31"/>
      <c r="X270" s="10"/>
      <c r="Y270" s="10"/>
      <c r="Z270" s="31"/>
    </row>
    <row r="271" spans="1:34" ht="14.25">
      <c r="A271" s="3"/>
      <c r="B271" s="16">
        <v>3</v>
      </c>
      <c r="C271" s="117" t="s">
        <v>200</v>
      </c>
      <c r="D271" s="113">
        <f>U271*$E$279/100</f>
        <v>0</v>
      </c>
      <c r="E271" s="113">
        <f>V271*$E$279/100</f>
        <v>0</v>
      </c>
      <c r="F271" s="113">
        <f>D271+E271</f>
        <v>0</v>
      </c>
      <c r="G271" s="113">
        <f>E271*$G$279/100</f>
        <v>0</v>
      </c>
      <c r="H271" s="113">
        <f>E271*$H$279/100</f>
        <v>0</v>
      </c>
      <c r="I271" s="113">
        <f>F271+G271+H271</f>
        <v>0</v>
      </c>
      <c r="J271" s="113">
        <f>X271*$J$279/100</f>
        <v>0</v>
      </c>
      <c r="K271" s="113">
        <f>R271*$K$279/100</f>
        <v>14300.29441802756</v>
      </c>
      <c r="L271" s="113">
        <f>R271*$L$279/100-540-2</f>
        <v>21298.44965662391</v>
      </c>
      <c r="M271" s="113">
        <f>R271*$M$279/100-137</f>
        <v>32103.663778825776</v>
      </c>
      <c r="N271" s="113">
        <v>44</v>
      </c>
      <c r="O271" s="122">
        <v>277.14</v>
      </c>
      <c r="P271" s="113">
        <v>550</v>
      </c>
      <c r="Q271" s="113"/>
      <c r="R271" s="113">
        <f>Y271*$R$279/100</f>
        <v>72723.58738468558</v>
      </c>
      <c r="S271" s="112">
        <f>I271+J271+K271+L271+M271+N271+O271+P271-1</f>
        <v>68572.54785347724</v>
      </c>
      <c r="U271" s="31">
        <v>0</v>
      </c>
      <c r="V271" s="31">
        <v>0</v>
      </c>
      <c r="W271" s="31">
        <v>0</v>
      </c>
      <c r="X271" s="31">
        <v>0</v>
      </c>
      <c r="Y271" s="31">
        <v>108622.283809333</v>
      </c>
      <c r="Z271" s="31">
        <v>108622.283809333</v>
      </c>
      <c r="AG271" s="13">
        <v>14300.29441802756</v>
      </c>
      <c r="AH271" s="13">
        <v>277.14</v>
      </c>
    </row>
    <row r="272" spans="1:26" ht="14.25">
      <c r="A272" s="3"/>
      <c r="B272" s="3"/>
      <c r="C272" s="101"/>
      <c r="D272" s="112"/>
      <c r="E272" s="112"/>
      <c r="F272" s="113"/>
      <c r="G272" s="113"/>
      <c r="H272" s="113"/>
      <c r="I272" s="113"/>
      <c r="J272" s="112"/>
      <c r="K272" s="113"/>
      <c r="L272" s="113"/>
      <c r="M272" s="113"/>
      <c r="N272" s="113"/>
      <c r="O272" s="113"/>
      <c r="P272" s="112"/>
      <c r="Q272" s="112"/>
      <c r="R272" s="112"/>
      <c r="S272" s="113"/>
      <c r="U272" s="10"/>
      <c r="V272" s="10"/>
      <c r="W272" s="31"/>
      <c r="X272" s="10"/>
      <c r="Y272" s="10"/>
      <c r="Z272" s="31"/>
    </row>
    <row r="273" spans="1:34" ht="14.25">
      <c r="A273" s="3"/>
      <c r="B273" s="16">
        <v>5</v>
      </c>
      <c r="C273" s="117" t="s">
        <v>201</v>
      </c>
      <c r="D273" s="113">
        <f>U273*$E$279/100</f>
        <v>0</v>
      </c>
      <c r="E273" s="113">
        <f>V273*$E$279/100</f>
        <v>0</v>
      </c>
      <c r="F273" s="113">
        <f>D273+E273</f>
        <v>0</v>
      </c>
      <c r="G273" s="113">
        <f>E273*$G$279/100</f>
        <v>0</v>
      </c>
      <c r="H273" s="113">
        <f>E273*$H$279/100</f>
        <v>0</v>
      </c>
      <c r="I273" s="113">
        <f>F273+G273+H273</f>
        <v>0</v>
      </c>
      <c r="J273" s="113">
        <f>X273*$J$279/100</f>
        <v>12085.691199848081</v>
      </c>
      <c r="K273" s="113">
        <f>R273*$K$279/100-1</f>
        <v>4544.699320819737</v>
      </c>
      <c r="L273" s="113">
        <f>R273*$L$279/100</f>
        <v>6942.522599070143</v>
      </c>
      <c r="M273" s="113">
        <f>R273*$M$279/100</f>
        <v>10248.485741484497</v>
      </c>
      <c r="N273" s="113">
        <v>44</v>
      </c>
      <c r="O273" s="122">
        <v>275</v>
      </c>
      <c r="P273" s="113">
        <v>550</v>
      </c>
      <c r="Q273" s="113"/>
      <c r="R273" s="113">
        <f>Y273*$R$279/100</f>
        <v>23116.97592501294</v>
      </c>
      <c r="S273" s="112">
        <f>I273+J273+K273+L273+M273+N273+O273+P273</f>
        <v>34690.39886122246</v>
      </c>
      <c r="U273" s="31">
        <v>0</v>
      </c>
      <c r="V273" s="31">
        <v>0</v>
      </c>
      <c r="W273" s="31">
        <v>0</v>
      </c>
      <c r="X273" s="31">
        <v>2803.07988652948</v>
      </c>
      <c r="Y273" s="31">
        <v>34528.2570627017</v>
      </c>
      <c r="Z273" s="31">
        <v>37331.3369492312</v>
      </c>
      <c r="AG273" s="13">
        <v>4545.699320819737</v>
      </c>
      <c r="AH273" s="13">
        <v>277.14</v>
      </c>
    </row>
    <row r="274" spans="1:26" ht="14.25">
      <c r="A274" s="3"/>
      <c r="B274" s="3"/>
      <c r="C274" s="101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U274" s="10"/>
      <c r="V274" s="10"/>
      <c r="W274" s="10"/>
      <c r="X274" s="10"/>
      <c r="Y274" s="10"/>
      <c r="Z274" s="10"/>
    </row>
    <row r="275" spans="1:34" s="39" customFormat="1" ht="42.75">
      <c r="A275" s="38">
        <v>140</v>
      </c>
      <c r="B275" s="38"/>
      <c r="C275" s="124" t="s">
        <v>202</v>
      </c>
      <c r="D275" s="125">
        <f aca="true" t="shared" si="100" ref="D275:P275">D25+D29+D33+D39+D53+D59+D70+D73+D81+D90+D96+D102+D105+D113+D116+D125+D128+D131+D134+D142+D145+D150+D154+D158+D164+D167+D178+D187+D194+D200+D206+D210+D224+D232+D234+D236+D238+D240+D244+D246+D249+D251+D253+D255+D257+D259+D261+D263+D265+D267+D269+D271+D273</f>
        <v>409657.3585014555</v>
      </c>
      <c r="E275" s="125">
        <f t="shared" si="100"/>
        <v>163298.04177662826</v>
      </c>
      <c r="F275" s="125">
        <f t="shared" si="100"/>
        <v>572954.4002780839</v>
      </c>
      <c r="G275" s="125">
        <f t="shared" si="100"/>
        <v>19760.681214228076</v>
      </c>
      <c r="H275" s="125">
        <f t="shared" si="100"/>
        <v>18508.28571011757</v>
      </c>
      <c r="I275" s="125">
        <f t="shared" si="100"/>
        <v>611223.3672024292</v>
      </c>
      <c r="J275" s="125">
        <f t="shared" si="100"/>
        <v>9937168.099711696</v>
      </c>
      <c r="K275" s="125">
        <f t="shared" si="100"/>
        <v>839678.5930552612</v>
      </c>
      <c r="L275" s="125">
        <f t="shared" si="100"/>
        <v>1282056.1349090762</v>
      </c>
      <c r="M275" s="125">
        <f t="shared" si="100"/>
        <v>1892743.1755418049</v>
      </c>
      <c r="N275" s="125">
        <f t="shared" si="100"/>
        <v>6278.440000000003</v>
      </c>
      <c r="O275" s="125">
        <f t="shared" si="100"/>
        <v>38800.31999999998</v>
      </c>
      <c r="P275" s="125">
        <f t="shared" si="100"/>
        <v>80174.75000000001</v>
      </c>
      <c r="Q275" s="125"/>
      <c r="R275" s="125">
        <f>R25+R29+R33+R39+R53+R59+R70+R73+R81+R90+R96+R102+R105+R113+R116+R125+R128+R131+R134+R142+R145+R150+R154+R158+R164+R167+R178+R187+R194+R200+R206+R210+R224+R232+R234+R236+R238+R240+R244+R246+R249+R251+R253+R255+R257+R259+R261+R263+R265+R267+R269+R271+R273</f>
        <v>4268918.66799826</v>
      </c>
      <c r="S275" s="125">
        <f>S25+S29+S33+S39+S53+S59+S70+S73+S81+S90+S96+S102+S105+S113+S116+S125+S128+S131+S134+S142+S145+S150+S154+S158+S164+S167+S178+S187+S194+S200+S206+S210+S224+S232+S234+S236+S238+S240+S244+S246+S249+S251+S253+S255+S257+S259+S261+S263+S265+S267+S269+S271+S273</f>
        <v>14688121.880420268</v>
      </c>
      <c r="U275" s="40">
        <v>455249.320886167</v>
      </c>
      <c r="V275" s="40">
        <v>183352.686455066</v>
      </c>
      <c r="W275" s="40">
        <v>638602.007341233</v>
      </c>
      <c r="X275" s="40">
        <v>2304756.29740786</v>
      </c>
      <c r="Y275" s="40">
        <v>6376188.15950855</v>
      </c>
      <c r="Z275" s="40">
        <v>9319546.46425764</v>
      </c>
      <c r="AG275" s="41">
        <v>839678.2165821729</v>
      </c>
      <c r="AH275" s="41">
        <v>39076.73999999997</v>
      </c>
    </row>
    <row r="276" spans="1:26" ht="14.25">
      <c r="A276" s="3"/>
      <c r="B276" s="3"/>
      <c r="C276" s="158"/>
      <c r="D276" s="159"/>
      <c r="E276" s="159"/>
      <c r="F276" s="159"/>
      <c r="G276" s="160"/>
      <c r="H276" s="160"/>
      <c r="I276" s="160"/>
      <c r="J276" s="159"/>
      <c r="K276" s="160"/>
      <c r="L276" s="160"/>
      <c r="M276" s="160"/>
      <c r="N276" s="160"/>
      <c r="O276" s="160"/>
      <c r="P276" s="160"/>
      <c r="Q276" s="160"/>
      <c r="R276" s="159"/>
      <c r="S276" s="159"/>
      <c r="U276" s="10">
        <v>455249</v>
      </c>
      <c r="V276" s="10">
        <v>183353</v>
      </c>
      <c r="W276" s="10">
        <v>638602</v>
      </c>
      <c r="X276" s="10">
        <v>2304756</v>
      </c>
      <c r="Y276" s="10">
        <v>6376188</v>
      </c>
      <c r="Z276" s="10">
        <v>9319546</v>
      </c>
    </row>
    <row r="277" spans="1:34" ht="14.25">
      <c r="A277" s="3"/>
      <c r="B277" s="157"/>
      <c r="C277" s="161"/>
      <c r="D277" s="162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U277" s="10"/>
      <c r="V277" s="10"/>
      <c r="W277" s="10"/>
      <c r="X277" s="10"/>
      <c r="Y277" s="10"/>
      <c r="Z277" s="10"/>
      <c r="AH277" s="13">
        <v>-276.73999999996886</v>
      </c>
    </row>
    <row r="278" spans="1:33" ht="14.25">
      <c r="A278" s="3"/>
      <c r="B278" s="157"/>
      <c r="C278" s="161"/>
      <c r="D278" s="163"/>
      <c r="E278" s="163"/>
      <c r="F278" s="163"/>
      <c r="G278" s="163"/>
      <c r="H278" s="163"/>
      <c r="I278" s="163"/>
      <c r="J278" s="163"/>
      <c r="K278" s="163"/>
      <c r="L278" s="163"/>
      <c r="M278" s="163"/>
      <c r="N278" s="163"/>
      <c r="O278" s="163"/>
      <c r="P278" s="163"/>
      <c r="Q278" s="163"/>
      <c r="R278" s="163"/>
      <c r="S278" s="163"/>
      <c r="U278" s="10">
        <v>-0.320886166999117</v>
      </c>
      <c r="V278" s="10">
        <v>0.313544934382662</v>
      </c>
      <c r="W278" s="10">
        <v>-0.00734123261645436</v>
      </c>
      <c r="X278" s="10">
        <v>-0.297407863661647</v>
      </c>
      <c r="Y278" s="10">
        <v>-0.159508547745645</v>
      </c>
      <c r="Z278" s="10">
        <v>-0.464257644489408</v>
      </c>
      <c r="AG278" s="13">
        <v>-839678.2165821729</v>
      </c>
    </row>
    <row r="279" spans="1:34" ht="14.25">
      <c r="A279" s="3"/>
      <c r="B279" s="157"/>
      <c r="C279" s="161"/>
      <c r="D279" s="164"/>
      <c r="E279" s="164"/>
      <c r="F279" s="164"/>
      <c r="G279" s="165"/>
      <c r="H279" s="165"/>
      <c r="I279" s="165"/>
      <c r="J279" s="164"/>
      <c r="K279" s="165"/>
      <c r="L279" s="165"/>
      <c r="M279" s="165"/>
      <c r="N279" s="166"/>
      <c r="O279" s="166"/>
      <c r="P279" s="166"/>
      <c r="Q279" s="166"/>
      <c r="R279" s="164"/>
      <c r="S279" s="167"/>
      <c r="U279" s="6">
        <v>123.29</v>
      </c>
      <c r="V279" s="6">
        <v>130.11</v>
      </c>
      <c r="W279" s="6">
        <v>126.45</v>
      </c>
      <c r="X279" s="6">
        <v>109.04</v>
      </c>
      <c r="Y279" s="6">
        <v>132.88</v>
      </c>
      <c r="Z279" s="6">
        <v>127.52</v>
      </c>
      <c r="AG279" s="13">
        <v>19.66390126271325</v>
      </c>
      <c r="AH279" s="13">
        <v>0</v>
      </c>
    </row>
    <row r="280" spans="1:26" ht="14.25">
      <c r="A280" s="3"/>
      <c r="B280" s="157"/>
      <c r="C280" s="161"/>
      <c r="D280" s="167"/>
      <c r="E280" s="167"/>
      <c r="F280" s="167"/>
      <c r="G280" s="161"/>
      <c r="H280" s="161"/>
      <c r="I280" s="161"/>
      <c r="J280" s="167"/>
      <c r="K280" s="161"/>
      <c r="L280" s="161"/>
      <c r="M280" s="161"/>
      <c r="N280" s="166"/>
      <c r="O280" s="166"/>
      <c r="P280" s="166"/>
      <c r="Q280" s="166"/>
      <c r="R280" s="167"/>
      <c r="S280" s="167"/>
      <c r="U280" s="6"/>
      <c r="V280" s="6"/>
      <c r="W280" s="6"/>
      <c r="X280" s="6"/>
      <c r="Y280" s="6"/>
      <c r="Z280" s="6"/>
    </row>
    <row r="281" spans="3:26" ht="14.25">
      <c r="C281" s="163"/>
      <c r="D281" s="168"/>
      <c r="E281" s="168"/>
      <c r="F281" s="168"/>
      <c r="G281" s="166"/>
      <c r="H281" s="166"/>
      <c r="I281" s="166"/>
      <c r="J281" s="168"/>
      <c r="K281" s="166"/>
      <c r="L281" s="166"/>
      <c r="M281" s="166"/>
      <c r="N281" s="166"/>
      <c r="O281" s="166"/>
      <c r="P281" s="166"/>
      <c r="Q281" s="166"/>
      <c r="R281" s="168"/>
      <c r="S281" s="168"/>
      <c r="U281" s="42"/>
      <c r="V281" s="42"/>
      <c r="W281" s="42"/>
      <c r="X281" s="42"/>
      <c r="Y281" s="42"/>
      <c r="Z281" s="42"/>
    </row>
    <row r="282" spans="3:34" s="43" customFormat="1" ht="14.25">
      <c r="C282" s="169"/>
      <c r="D282" s="162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9"/>
      <c r="S282" s="162"/>
      <c r="AG282" s="44">
        <v>839678.4394026104</v>
      </c>
      <c r="AH282" s="44">
        <v>38800</v>
      </c>
    </row>
    <row r="283" spans="3:19" ht="14.25">
      <c r="C283" s="163"/>
      <c r="D283" s="167"/>
      <c r="E283" s="167"/>
      <c r="F283" s="167"/>
      <c r="G283" s="163"/>
      <c r="H283" s="163"/>
      <c r="I283" s="163"/>
      <c r="J283" s="167"/>
      <c r="K283" s="163"/>
      <c r="L283" s="163"/>
      <c r="M283" s="163"/>
      <c r="N283" s="166"/>
      <c r="O283" s="166"/>
      <c r="P283" s="166"/>
      <c r="Q283" s="166"/>
      <c r="R283" s="167"/>
      <c r="S283" s="167"/>
    </row>
    <row r="284" spans="3:34" ht="14.25">
      <c r="C284" s="163"/>
      <c r="D284" s="168"/>
      <c r="E284" s="168"/>
      <c r="F284" s="168"/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Q284" s="168"/>
      <c r="R284" s="168"/>
      <c r="S284" s="168"/>
      <c r="AG284" s="13">
        <v>0.22282043751329184</v>
      </c>
      <c r="AH284" s="13">
        <v>-276.73999999996886</v>
      </c>
    </row>
    <row r="285" spans="4:34" ht="14.25"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AG285" s="13">
        <v>-4341.777179562487</v>
      </c>
      <c r="AH285" s="13">
        <v>-276.73999999996886</v>
      </c>
    </row>
    <row r="287" spans="4:34" ht="14.25"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AG287" s="13">
        <v>839019.9587221592</v>
      </c>
      <c r="AH287" s="13">
        <v>38799.59999999997</v>
      </c>
    </row>
    <row r="290" spans="4:34" ht="14.25"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R290" s="13"/>
      <c r="S290" s="13"/>
      <c r="AG290" s="13">
        <v>658.4806804512627</v>
      </c>
      <c r="AH290" s="13">
        <v>0.400000000030559</v>
      </c>
    </row>
    <row r="293" ht="14.25">
      <c r="P293" s="13">
        <f>80748/141</f>
        <v>572.6808510638298</v>
      </c>
    </row>
    <row r="294" ht="14.25">
      <c r="O294" s="13">
        <f>38800/140</f>
        <v>277.14285714285717</v>
      </c>
    </row>
  </sheetData>
  <sheetProtection selectLockedCells="1" selectUnlockedCells="1"/>
  <printOptions/>
  <pageMargins left="0.7000000000000001" right="0.7000000000000001" top="0.75" bottom="0.75" header="0.5118055555555556" footer="0.5118055555555556"/>
  <pageSetup horizontalDpi="300" verticalDpi="300" orientation="landscape" paperSize="9" scale="93" r:id="rId1"/>
  <rowBreaks count="5" manualBreakCount="5">
    <brk id="26" max="255" man="1"/>
    <brk id="61" min="2" max="18" man="1"/>
    <brk id="97" min="2" max="18" man="1"/>
    <brk id="135" min="2" max="18" man="1"/>
    <brk id="168" min="2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C292"/>
  <sheetViews>
    <sheetView view="pageBreakPreview" zoomScale="60" zoomScaleNormal="80" zoomScalePageLayoutView="0" workbookViewId="0" topLeftCell="A1">
      <pane xSplit="3" ySplit="5" topLeftCell="D225" activePane="bottomRight" state="frozen"/>
      <selection pane="topLeft" activeCell="A1" sqref="A1"/>
      <selection pane="topRight" activeCell="H1" sqref="H1"/>
      <selection pane="bottomLeft" activeCell="A200" sqref="A200"/>
      <selection pane="bottomRight" activeCell="L277" sqref="L277"/>
    </sheetView>
  </sheetViews>
  <sheetFormatPr defaultColWidth="9.00390625" defaultRowHeight="14.25"/>
  <cols>
    <col min="1" max="2" width="0" style="0" hidden="1" customWidth="1"/>
    <col min="3" max="3" width="23.125" style="0" customWidth="1"/>
    <col min="4" max="4" width="11.875" style="12" customWidth="1"/>
    <col min="5" max="6" width="10.75390625" style="12" customWidth="1"/>
    <col min="7" max="9" width="10.75390625" style="0" customWidth="1"/>
    <col min="10" max="10" width="10.75390625" style="12" customWidth="1"/>
    <col min="11" max="11" width="10.75390625" style="0" customWidth="1"/>
    <col min="12" max="12" width="11.50390625" style="0" customWidth="1"/>
    <col min="13" max="15" width="10.75390625" style="0" customWidth="1"/>
    <col min="16" max="16" width="11.375" style="0" customWidth="1"/>
    <col min="17" max="17" width="0" style="12" hidden="1" customWidth="1"/>
    <col min="18" max="18" width="10.75390625" style="12" customWidth="1"/>
    <col min="19" max="19" width="2.625" style="1" customWidth="1"/>
    <col min="20" max="25" width="10.75390625" style="2" customWidth="1"/>
  </cols>
  <sheetData>
    <row r="1" spans="1:25" ht="18">
      <c r="A1" s="3"/>
      <c r="B1" s="3"/>
      <c r="C1" s="101" t="s">
        <v>203</v>
      </c>
      <c r="D1" s="126" t="s">
        <v>48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 t="s">
        <v>49</v>
      </c>
      <c r="Q1" s="126"/>
      <c r="R1" s="126" t="s">
        <v>204</v>
      </c>
      <c r="T1" s="45" t="s">
        <v>48</v>
      </c>
      <c r="U1" s="45"/>
      <c r="V1" s="45"/>
      <c r="W1" s="46" t="s">
        <v>49</v>
      </c>
      <c r="X1" s="45"/>
      <c r="Y1" s="45" t="s">
        <v>204</v>
      </c>
    </row>
    <row r="2" spans="1:25" ht="18">
      <c r="A2" s="3"/>
      <c r="B2" s="3"/>
      <c r="C2" s="101"/>
      <c r="D2" s="98" t="s">
        <v>51</v>
      </c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T2" s="45" t="s">
        <v>205</v>
      </c>
      <c r="U2" s="45"/>
      <c r="V2" s="45"/>
      <c r="W2" s="45"/>
      <c r="X2" s="45"/>
      <c r="Y2" s="45"/>
    </row>
    <row r="3" spans="1:25" s="5" customFormat="1" ht="42.75">
      <c r="A3" s="3"/>
      <c r="B3" s="47" t="s">
        <v>54</v>
      </c>
      <c r="C3" s="128" t="s">
        <v>55</v>
      </c>
      <c r="D3" s="129" t="s">
        <v>3</v>
      </c>
      <c r="E3" s="130" t="s">
        <v>4</v>
      </c>
      <c r="F3" s="129" t="s">
        <v>5</v>
      </c>
      <c r="G3" s="105" t="s">
        <v>6</v>
      </c>
      <c r="H3" s="105" t="s">
        <v>7</v>
      </c>
      <c r="I3" s="105" t="s">
        <v>8</v>
      </c>
      <c r="J3" s="106" t="s">
        <v>9</v>
      </c>
      <c r="K3" s="106" t="s">
        <v>10</v>
      </c>
      <c r="L3" s="124" t="s">
        <v>11</v>
      </c>
      <c r="M3" s="106" t="s">
        <v>12</v>
      </c>
      <c r="N3" s="106" t="s">
        <v>13</v>
      </c>
      <c r="O3" s="106" t="s">
        <v>14</v>
      </c>
      <c r="P3" s="106" t="s">
        <v>15</v>
      </c>
      <c r="Q3" s="129" t="s">
        <v>16</v>
      </c>
      <c r="R3" s="129" t="s">
        <v>17</v>
      </c>
      <c r="S3" s="4"/>
      <c r="T3" s="45" t="s">
        <v>3</v>
      </c>
      <c r="U3" s="48" t="s">
        <v>4</v>
      </c>
      <c r="V3" s="45" t="s">
        <v>5</v>
      </c>
      <c r="W3" s="45" t="s">
        <v>18</v>
      </c>
      <c r="X3" s="45" t="s">
        <v>16</v>
      </c>
      <c r="Y3" s="45" t="s">
        <v>17</v>
      </c>
    </row>
    <row r="4" spans="1:25" ht="14.25">
      <c r="A4" s="3"/>
      <c r="B4" s="3" t="s">
        <v>56</v>
      </c>
      <c r="C4" s="101" t="s">
        <v>57</v>
      </c>
      <c r="D4" s="126" t="s">
        <v>19</v>
      </c>
      <c r="E4" s="126" t="s">
        <v>19</v>
      </c>
      <c r="F4" s="126" t="s">
        <v>19</v>
      </c>
      <c r="G4" s="126"/>
      <c r="H4" s="126"/>
      <c r="I4" s="126"/>
      <c r="J4" s="126" t="s">
        <v>20</v>
      </c>
      <c r="K4" s="126"/>
      <c r="L4" s="126"/>
      <c r="M4" s="126"/>
      <c r="N4" s="126"/>
      <c r="O4" s="126"/>
      <c r="P4" s="126"/>
      <c r="Q4" s="126" t="s">
        <v>21</v>
      </c>
      <c r="R4" s="126"/>
      <c r="T4" s="45" t="s">
        <v>19</v>
      </c>
      <c r="U4" s="45" t="s">
        <v>19</v>
      </c>
      <c r="V4" s="45" t="s">
        <v>19</v>
      </c>
      <c r="W4" s="45" t="s">
        <v>20</v>
      </c>
      <c r="X4" s="45" t="s">
        <v>21</v>
      </c>
      <c r="Y4" s="45"/>
    </row>
    <row r="5" spans="1:25" ht="14.25">
      <c r="A5" s="3"/>
      <c r="B5" s="3"/>
      <c r="C5" s="101"/>
      <c r="D5" s="101" t="s">
        <v>22</v>
      </c>
      <c r="E5" s="101" t="s">
        <v>22</v>
      </c>
      <c r="F5" s="101" t="s">
        <v>22</v>
      </c>
      <c r="G5" s="101" t="s">
        <v>22</v>
      </c>
      <c r="H5" s="101" t="s">
        <v>22</v>
      </c>
      <c r="I5" s="101" t="s">
        <v>22</v>
      </c>
      <c r="J5" s="101" t="s">
        <v>22</v>
      </c>
      <c r="K5" s="101" t="s">
        <v>22</v>
      </c>
      <c r="L5" s="101" t="s">
        <v>22</v>
      </c>
      <c r="M5" s="101" t="s">
        <v>22</v>
      </c>
      <c r="N5" s="101" t="s">
        <v>22</v>
      </c>
      <c r="O5" s="101" t="s">
        <v>22</v>
      </c>
      <c r="P5" s="101" t="s">
        <v>22</v>
      </c>
      <c r="Q5" s="101" t="s">
        <v>22</v>
      </c>
      <c r="R5" s="101" t="s">
        <v>22</v>
      </c>
      <c r="T5" s="45" t="s">
        <v>23</v>
      </c>
      <c r="U5" s="45" t="s">
        <v>23</v>
      </c>
      <c r="V5" s="45" t="s">
        <v>23</v>
      </c>
      <c r="W5" s="45" t="s">
        <v>23</v>
      </c>
      <c r="X5" s="45" t="s">
        <v>23</v>
      </c>
      <c r="Y5" s="45" t="s">
        <v>23</v>
      </c>
    </row>
    <row r="6" spans="1:25" ht="14.25">
      <c r="A6" s="3"/>
      <c r="B6" s="3"/>
      <c r="C6" s="101" t="s">
        <v>59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T6" s="6"/>
      <c r="U6" s="6"/>
      <c r="V6" s="6"/>
      <c r="W6" s="6"/>
      <c r="X6" s="6"/>
      <c r="Y6" s="6"/>
    </row>
    <row r="7" spans="1:25" ht="14.25">
      <c r="A7" s="3"/>
      <c r="B7" s="3">
        <v>1</v>
      </c>
      <c r="C7" s="117" t="s">
        <v>206</v>
      </c>
      <c r="D7" s="113">
        <f>T7*$D$279/100</f>
        <v>0</v>
      </c>
      <c r="E7" s="113">
        <f aca="true" t="shared" si="0" ref="E7:E19">U7*$E$279/100</f>
        <v>0</v>
      </c>
      <c r="F7" s="112">
        <f aca="true" t="shared" si="1" ref="F7:F19">D7+E7</f>
        <v>0</v>
      </c>
      <c r="G7" s="112">
        <f aca="true" t="shared" si="2" ref="G7:G20">E7*$G$279/100</f>
        <v>0</v>
      </c>
      <c r="H7" s="112">
        <f aca="true" t="shared" si="3" ref="H7:H19">E7*$H$279/100</f>
        <v>0</v>
      </c>
      <c r="I7" s="112">
        <f aca="true" t="shared" si="4" ref="I7:I19">SUM(F7:H7)</f>
        <v>0</v>
      </c>
      <c r="J7" s="112">
        <f>W7*$J$279/100-72</f>
        <v>806306.840127336</v>
      </c>
      <c r="K7" s="112">
        <f>Q7*$K$279/100-132</f>
        <v>32104.738277919307</v>
      </c>
      <c r="L7" s="112">
        <f>Q7*$L$279/100+28</f>
        <v>49262.29118809493</v>
      </c>
      <c r="M7" s="112">
        <f aca="true" t="shared" si="5" ref="M7:M15">Q7*$M$279/100</f>
        <v>72679.19175385444</v>
      </c>
      <c r="N7" s="122">
        <v>39.2375</v>
      </c>
      <c r="O7" s="122">
        <f>242.5</f>
        <v>242.5</v>
      </c>
      <c r="P7" s="122">
        <f>501.09375+17</f>
        <v>518.09375</v>
      </c>
      <c r="Q7" s="112">
        <f aca="true" t="shared" si="6" ref="Q7:Q19">X7*$Q$279/100</f>
        <v>163938.6703952115</v>
      </c>
      <c r="R7" s="112">
        <f aca="true" t="shared" si="7" ref="R7:R19">I7+J7+K7+L7+M7+N7+O7+P7</f>
        <v>961152.8925972047</v>
      </c>
      <c r="T7" s="10">
        <v>0</v>
      </c>
      <c r="U7" s="10">
        <v>0</v>
      </c>
      <c r="V7" s="10">
        <v>0</v>
      </c>
      <c r="W7" s="10">
        <v>187026.482003141</v>
      </c>
      <c r="X7" s="10">
        <v>244864.058875392</v>
      </c>
      <c r="Y7" s="10">
        <v>431889.540878533</v>
      </c>
    </row>
    <row r="8" spans="1:25" ht="14.25">
      <c r="A8" s="3"/>
      <c r="B8" s="3">
        <v>2</v>
      </c>
      <c r="C8" s="117" t="s">
        <v>207</v>
      </c>
      <c r="D8" s="113">
        <f>T8*$D$279/100-25</f>
        <v>37135.250708797714</v>
      </c>
      <c r="E8" s="113">
        <f t="shared" si="0"/>
        <v>0</v>
      </c>
      <c r="F8" s="112">
        <f t="shared" si="1"/>
        <v>37135.250708797714</v>
      </c>
      <c r="G8" s="112">
        <f t="shared" si="2"/>
        <v>0</v>
      </c>
      <c r="H8" s="112">
        <f t="shared" si="3"/>
        <v>0</v>
      </c>
      <c r="I8" s="112">
        <f t="shared" si="4"/>
        <v>37135.250708797714</v>
      </c>
      <c r="J8" s="112">
        <f aca="true" t="shared" si="8" ref="J8:J19">W8*$J$279/100</f>
        <v>0</v>
      </c>
      <c r="K8" s="112">
        <f aca="true" t="shared" si="9" ref="K8:K19">Q8*$K$279/100</f>
        <v>263.3031440055002</v>
      </c>
      <c r="L8" s="112">
        <f aca="true" t="shared" si="10" ref="L8:L19">Q8*$L$279/100</f>
        <v>402.1357108447639</v>
      </c>
      <c r="M8" s="112">
        <f t="shared" si="5"/>
        <v>593.6289064851277</v>
      </c>
      <c r="N8" s="122">
        <v>39.2375</v>
      </c>
      <c r="O8" s="122">
        <v>242.5</v>
      </c>
      <c r="P8" s="122">
        <v>501.09375</v>
      </c>
      <c r="Q8" s="112">
        <f t="shared" si="6"/>
        <v>1339.0178301229391</v>
      </c>
      <c r="R8" s="112">
        <f t="shared" si="7"/>
        <v>39177.14972013311</v>
      </c>
      <c r="T8" s="10">
        <v>41286.5832221414</v>
      </c>
      <c r="U8" s="10">
        <v>0</v>
      </c>
      <c r="V8" s="10">
        <v>41286.5832221414</v>
      </c>
      <c r="W8" s="10">
        <v>0</v>
      </c>
      <c r="X8" s="10">
        <v>2000</v>
      </c>
      <c r="Y8" s="10">
        <v>43286.5832221414</v>
      </c>
    </row>
    <row r="9" spans="1:25" ht="14.25">
      <c r="A9" s="3"/>
      <c r="B9" s="3">
        <v>3</v>
      </c>
      <c r="C9" s="117" t="s">
        <v>208</v>
      </c>
      <c r="D9" s="113">
        <f aca="true" t="shared" si="11" ref="D9:D19">T9*$D$279/100</f>
        <v>2152.6868058094274</v>
      </c>
      <c r="E9" s="113">
        <f t="shared" si="0"/>
        <v>15997.546962211673</v>
      </c>
      <c r="F9" s="112">
        <f t="shared" si="1"/>
        <v>18150.2337680211</v>
      </c>
      <c r="G9" s="112">
        <f t="shared" si="2"/>
        <v>1936.4494979323076</v>
      </c>
      <c r="H9" s="112">
        <f t="shared" si="3"/>
        <v>1813.7581559278742</v>
      </c>
      <c r="I9" s="112">
        <f t="shared" si="4"/>
        <v>21900.44142188128</v>
      </c>
      <c r="J9" s="112">
        <f t="shared" si="8"/>
        <v>81333.94138210664</v>
      </c>
      <c r="K9" s="112">
        <f t="shared" si="9"/>
        <v>25983.490549556678</v>
      </c>
      <c r="L9" s="112">
        <f t="shared" si="10"/>
        <v>39683.876475686564</v>
      </c>
      <c r="M9" s="112">
        <f t="shared" si="5"/>
        <v>58580.96051172778</v>
      </c>
      <c r="N9" s="122">
        <v>39.2375</v>
      </c>
      <c r="O9" s="122">
        <v>242.5</v>
      </c>
      <c r="P9" s="122">
        <v>501.09375</v>
      </c>
      <c r="Q9" s="112">
        <f t="shared" si="6"/>
        <v>132138.02389674654</v>
      </c>
      <c r="R9" s="112">
        <f t="shared" si="7"/>
        <v>228265.54159095892</v>
      </c>
      <c r="T9" s="10">
        <v>2391.72452456611</v>
      </c>
      <c r="U9" s="10">
        <v>17972.69048036</v>
      </c>
      <c r="V9" s="10">
        <v>20365.4150049261</v>
      </c>
      <c r="W9" s="10">
        <v>18864.0874080265</v>
      </c>
      <c r="X9" s="10">
        <v>197365.592786191</v>
      </c>
      <c r="Y9" s="10">
        <v>236595.095199144</v>
      </c>
    </row>
    <row r="10" spans="1:25" ht="14.25">
      <c r="A10" s="3"/>
      <c r="B10" s="3">
        <v>4</v>
      </c>
      <c r="C10" s="117" t="s">
        <v>209</v>
      </c>
      <c r="D10" s="113">
        <f t="shared" si="11"/>
        <v>448.47641787696443</v>
      </c>
      <c r="E10" s="113">
        <f t="shared" si="0"/>
        <v>656.8425336856116</v>
      </c>
      <c r="F10" s="112">
        <f t="shared" si="1"/>
        <v>1105.3189515625759</v>
      </c>
      <c r="G10" s="112">
        <f t="shared" si="2"/>
        <v>79.50858950941566</v>
      </c>
      <c r="H10" s="112">
        <f t="shared" si="3"/>
        <v>74.47101142736086</v>
      </c>
      <c r="I10" s="112">
        <f t="shared" si="4"/>
        <v>1259.2985524993524</v>
      </c>
      <c r="J10" s="112">
        <f t="shared" si="8"/>
        <v>2032.3410000625486</v>
      </c>
      <c r="K10" s="112">
        <f t="shared" si="9"/>
        <v>1738.2321094925394</v>
      </c>
      <c r="L10" s="112">
        <f t="shared" si="10"/>
        <v>2654.754494497696</v>
      </c>
      <c r="M10" s="112">
        <f t="shared" si="5"/>
        <v>3918.923301401361</v>
      </c>
      <c r="N10" s="122">
        <v>39.2375</v>
      </c>
      <c r="O10" s="122">
        <v>242.5</v>
      </c>
      <c r="P10" s="122">
        <v>501.09375</v>
      </c>
      <c r="Q10" s="112">
        <f t="shared" si="6"/>
        <v>8839.711338403537</v>
      </c>
      <c r="R10" s="112">
        <f t="shared" si="7"/>
        <v>12386.380707953496</v>
      </c>
      <c r="T10" s="10">
        <v>498.27594261794</v>
      </c>
      <c r="U10" s="10">
        <v>737.939859164186</v>
      </c>
      <c r="V10" s="10">
        <v>1236.21580178213</v>
      </c>
      <c r="W10" s="10">
        <v>471.368503931008</v>
      </c>
      <c r="X10" s="10">
        <v>13203.2765203611</v>
      </c>
      <c r="Y10" s="10">
        <v>14909.8608260742</v>
      </c>
    </row>
    <row r="11" spans="1:25" ht="14.25">
      <c r="A11" s="3"/>
      <c r="B11" s="3">
        <v>5</v>
      </c>
      <c r="C11" s="117" t="s">
        <v>210</v>
      </c>
      <c r="D11" s="113">
        <f t="shared" si="11"/>
        <v>9324.038287861113</v>
      </c>
      <c r="E11" s="113">
        <f t="shared" si="0"/>
        <v>12005.512936588035</v>
      </c>
      <c r="F11" s="112">
        <f t="shared" si="1"/>
        <v>21329.551224449147</v>
      </c>
      <c r="G11" s="112">
        <f t="shared" si="2"/>
        <v>1453.2271449735854</v>
      </c>
      <c r="H11" s="112">
        <f t="shared" si="3"/>
        <v>1361.1522476708349</v>
      </c>
      <c r="I11" s="112">
        <f t="shared" si="4"/>
        <v>24143.930617093567</v>
      </c>
      <c r="J11" s="112">
        <f t="shared" si="8"/>
        <v>14733.032915467606</v>
      </c>
      <c r="K11" s="112">
        <f t="shared" si="9"/>
        <v>13036.160765985067</v>
      </c>
      <c r="L11" s="112">
        <f t="shared" si="10"/>
        <v>19909.772806231736</v>
      </c>
      <c r="M11" s="112">
        <f t="shared" si="5"/>
        <v>29390.61699967542</v>
      </c>
      <c r="N11" s="122">
        <v>39.2375</v>
      </c>
      <c r="O11" s="122">
        <v>242.5</v>
      </c>
      <c r="P11" s="122">
        <v>501.09375</v>
      </c>
      <c r="Q11" s="112">
        <f t="shared" si="6"/>
        <v>66294.8851899713</v>
      </c>
      <c r="R11" s="112">
        <f t="shared" si="7"/>
        <v>101996.3453544534</v>
      </c>
      <c r="T11" s="10">
        <v>10359.3941212854</v>
      </c>
      <c r="U11" s="10">
        <v>13487.7783810815</v>
      </c>
      <c r="V11" s="10">
        <v>23847.1725023668</v>
      </c>
      <c r="W11" s="10">
        <v>3417.08782311459</v>
      </c>
      <c r="X11" s="10">
        <v>99020.1679149927</v>
      </c>
      <c r="Y11" s="10">
        <v>126284.428240474</v>
      </c>
    </row>
    <row r="12" spans="1:25" ht="14.25">
      <c r="A12" s="3"/>
      <c r="B12" s="3">
        <v>6</v>
      </c>
      <c r="C12" s="117" t="s">
        <v>211</v>
      </c>
      <c r="D12" s="113">
        <f t="shared" si="11"/>
        <v>9324.038287861113</v>
      </c>
      <c r="E12" s="113">
        <f t="shared" si="0"/>
        <v>7821.267151770063</v>
      </c>
      <c r="F12" s="112">
        <f t="shared" si="1"/>
        <v>17145.305439631175</v>
      </c>
      <c r="G12" s="112">
        <f t="shared" si="2"/>
        <v>946.7382021140642</v>
      </c>
      <c r="H12" s="112">
        <f t="shared" si="3"/>
        <v>886.7538954392617</v>
      </c>
      <c r="I12" s="112">
        <f t="shared" si="4"/>
        <v>18978.797537184502</v>
      </c>
      <c r="J12" s="112">
        <f t="shared" si="8"/>
        <v>4070.439340068613</v>
      </c>
      <c r="K12" s="112">
        <f t="shared" si="9"/>
        <v>8690.773843990059</v>
      </c>
      <c r="L12" s="112">
        <f t="shared" si="10"/>
        <v>13273.18187082118</v>
      </c>
      <c r="M12" s="112">
        <f t="shared" si="5"/>
        <v>19593.74466645031</v>
      </c>
      <c r="N12" s="122">
        <v>39.2375</v>
      </c>
      <c r="O12" s="122">
        <v>242.5</v>
      </c>
      <c r="P12" s="122">
        <v>501.09375</v>
      </c>
      <c r="Q12" s="112">
        <f t="shared" si="6"/>
        <v>44196.59012664761</v>
      </c>
      <c r="R12" s="112">
        <f t="shared" si="7"/>
        <v>65389.768508514666</v>
      </c>
      <c r="T12" s="10">
        <v>10359.3941212854</v>
      </c>
      <c r="U12" s="10">
        <v>8786.923021074</v>
      </c>
      <c r="V12" s="10">
        <v>19146.3171423594</v>
      </c>
      <c r="W12" s="10">
        <v>944.072329402896</v>
      </c>
      <c r="X12" s="10">
        <v>66013.4452766619</v>
      </c>
      <c r="Y12" s="10">
        <v>86102.8347484242</v>
      </c>
    </row>
    <row r="13" spans="1:25" ht="14.25">
      <c r="A13" s="3"/>
      <c r="B13" s="3">
        <v>7</v>
      </c>
      <c r="C13" s="117" t="s">
        <v>212</v>
      </c>
      <c r="D13" s="113">
        <f t="shared" si="11"/>
        <v>448.47641787696443</v>
      </c>
      <c r="E13" s="113">
        <f t="shared" si="0"/>
        <v>3274.4090485223014</v>
      </c>
      <c r="F13" s="112">
        <f t="shared" si="1"/>
        <v>3722.885466399266</v>
      </c>
      <c r="G13" s="112">
        <f t="shared" si="2"/>
        <v>396.35625218126603</v>
      </c>
      <c r="H13" s="112">
        <f t="shared" si="3"/>
        <v>371.24354950355996</v>
      </c>
      <c r="I13" s="112">
        <f t="shared" si="4"/>
        <v>4490.485268084092</v>
      </c>
      <c r="J13" s="112">
        <f t="shared" si="8"/>
        <v>2032.3410000625486</v>
      </c>
      <c r="K13" s="112">
        <f t="shared" si="9"/>
        <v>1738.2321094925394</v>
      </c>
      <c r="L13" s="112">
        <f t="shared" si="10"/>
        <v>2654.754494497696</v>
      </c>
      <c r="M13" s="112">
        <f t="shared" si="5"/>
        <v>3918.923301401361</v>
      </c>
      <c r="N13" s="122">
        <v>39.2375</v>
      </c>
      <c r="O13" s="122">
        <v>242.5</v>
      </c>
      <c r="P13" s="122">
        <v>501.09375</v>
      </c>
      <c r="Q13" s="112">
        <f t="shared" si="6"/>
        <v>8839.711338403537</v>
      </c>
      <c r="R13" s="112">
        <f t="shared" si="7"/>
        <v>15617.567423538236</v>
      </c>
      <c r="T13" s="10">
        <v>498.27594261794</v>
      </c>
      <c r="U13" s="10">
        <v>3678.68526807221</v>
      </c>
      <c r="V13" s="10">
        <v>4176.96121069015</v>
      </c>
      <c r="W13" s="10">
        <v>471.368503931008</v>
      </c>
      <c r="X13" s="10">
        <v>13203.2765203611</v>
      </c>
      <c r="Y13" s="10">
        <v>17850.6062349823</v>
      </c>
    </row>
    <row r="14" spans="1:25" ht="14.25">
      <c r="A14" s="3"/>
      <c r="B14" s="3">
        <v>8</v>
      </c>
      <c r="C14" s="117" t="s">
        <v>213</v>
      </c>
      <c r="D14" s="113">
        <f t="shared" si="11"/>
        <v>0</v>
      </c>
      <c r="E14" s="113">
        <f t="shared" si="0"/>
        <v>3503.8137543169787</v>
      </c>
      <c r="F14" s="112">
        <f t="shared" si="1"/>
        <v>3503.8137543169787</v>
      </c>
      <c r="G14" s="112">
        <f t="shared" si="2"/>
        <v>424.124923741271</v>
      </c>
      <c r="H14" s="112">
        <f t="shared" si="3"/>
        <v>397.25282812147424</v>
      </c>
      <c r="I14" s="112">
        <f t="shared" si="4"/>
        <v>4325.1915061797245</v>
      </c>
      <c r="J14" s="112">
        <f t="shared" si="8"/>
        <v>17784.423085533177</v>
      </c>
      <c r="K14" s="112">
        <f t="shared" si="9"/>
        <v>6999.719558158937</v>
      </c>
      <c r="L14" s="112">
        <f t="shared" si="10"/>
        <v>10690.480779733649</v>
      </c>
      <c r="M14" s="112">
        <f t="shared" si="5"/>
        <v>15781.18591294015</v>
      </c>
      <c r="N14" s="122">
        <v>39.2375</v>
      </c>
      <c r="O14" s="122">
        <v>242.5</v>
      </c>
      <c r="P14" s="122">
        <v>501.09375</v>
      </c>
      <c r="Q14" s="112">
        <f t="shared" si="6"/>
        <v>35596.79976339093</v>
      </c>
      <c r="R14" s="112">
        <f t="shared" si="7"/>
        <v>56363.83209254564</v>
      </c>
      <c r="T14" s="10">
        <v>0</v>
      </c>
      <c r="U14" s="10">
        <v>3936.41351739224</v>
      </c>
      <c r="V14" s="10">
        <v>3936.41351739224</v>
      </c>
      <c r="W14" s="10">
        <v>4124.80823978154</v>
      </c>
      <c r="X14" s="10">
        <v>53168.5224238167</v>
      </c>
      <c r="Y14" s="10">
        <v>61229.7441809905</v>
      </c>
    </row>
    <row r="15" spans="1:25" ht="14.25">
      <c r="A15" s="3"/>
      <c r="B15" s="3">
        <v>9</v>
      </c>
      <c r="C15" s="117" t="s">
        <v>214</v>
      </c>
      <c r="D15" s="113">
        <f t="shared" si="11"/>
        <v>0</v>
      </c>
      <c r="E15" s="113">
        <f t="shared" si="0"/>
        <v>590.1779183264744</v>
      </c>
      <c r="F15" s="112">
        <f t="shared" si="1"/>
        <v>590.1779183264744</v>
      </c>
      <c r="G15" s="112">
        <f t="shared" si="2"/>
        <v>71.43906102189281</v>
      </c>
      <c r="H15" s="112">
        <f t="shared" si="3"/>
        <v>66.9127595213003</v>
      </c>
      <c r="I15" s="112">
        <f t="shared" si="4"/>
        <v>728.5297388696674</v>
      </c>
      <c r="J15" s="112">
        <f t="shared" si="8"/>
        <v>3252.897068088778</v>
      </c>
      <c r="K15" s="112">
        <f t="shared" si="9"/>
        <v>4563.1009770882965</v>
      </c>
      <c r="L15" s="112">
        <f t="shared" si="10"/>
        <v>6969.099674098488</v>
      </c>
      <c r="M15" s="112">
        <f t="shared" si="5"/>
        <v>10287.71856652634</v>
      </c>
      <c r="N15" s="122">
        <v>39.2375</v>
      </c>
      <c r="O15" s="122">
        <v>242.5</v>
      </c>
      <c r="P15" s="122">
        <v>501.09375</v>
      </c>
      <c r="Q15" s="112">
        <f t="shared" si="6"/>
        <v>23205.471366665486</v>
      </c>
      <c r="R15" s="112">
        <f t="shared" si="7"/>
        <v>26584.17727467157</v>
      </c>
      <c r="T15" s="10">
        <v>0</v>
      </c>
      <c r="U15" s="10">
        <v>663.044470472895</v>
      </c>
      <c r="V15" s="10">
        <v>663.044470472895</v>
      </c>
      <c r="W15" s="10">
        <v>754.456670597788</v>
      </c>
      <c r="X15" s="10">
        <v>34660.4366941625</v>
      </c>
      <c r="Y15" s="10">
        <v>36076.9378352332</v>
      </c>
    </row>
    <row r="16" spans="1:25" ht="14.25">
      <c r="A16" s="3"/>
      <c r="B16" s="3">
        <v>10</v>
      </c>
      <c r="C16" s="117" t="s">
        <v>215</v>
      </c>
      <c r="D16" s="113">
        <f t="shared" si="11"/>
        <v>0</v>
      </c>
      <c r="E16" s="113">
        <f t="shared" si="0"/>
        <v>0</v>
      </c>
      <c r="F16" s="112">
        <f t="shared" si="1"/>
        <v>0</v>
      </c>
      <c r="G16" s="112">
        <f t="shared" si="2"/>
        <v>0</v>
      </c>
      <c r="H16" s="112">
        <f t="shared" si="3"/>
        <v>0</v>
      </c>
      <c r="I16" s="112">
        <f t="shared" si="4"/>
        <v>0</v>
      </c>
      <c r="J16" s="112">
        <f t="shared" si="8"/>
        <v>0</v>
      </c>
      <c r="K16" s="112">
        <f t="shared" si="9"/>
        <v>11736.190656995142</v>
      </c>
      <c r="L16" s="112">
        <f t="shared" si="10"/>
        <v>17924.363912501674</v>
      </c>
      <c r="M16" s="112">
        <f>Q16*$M$279/100-106</f>
        <v>26353.77529940723</v>
      </c>
      <c r="N16" s="122">
        <v>39.2375</v>
      </c>
      <c r="O16" s="122">
        <v>242.5</v>
      </c>
      <c r="P16" s="122">
        <v>501.09375</v>
      </c>
      <c r="Q16" s="112">
        <f t="shared" si="6"/>
        <v>59683.93809650247</v>
      </c>
      <c r="R16" s="112">
        <f t="shared" si="7"/>
        <v>56797.16111890405</v>
      </c>
      <c r="T16" s="10">
        <v>0</v>
      </c>
      <c r="U16" s="10">
        <v>0</v>
      </c>
      <c r="V16" s="10">
        <v>0</v>
      </c>
      <c r="W16" s="10">
        <v>0</v>
      </c>
      <c r="X16" s="10">
        <v>89145.8451916547</v>
      </c>
      <c r="Y16" s="10">
        <v>89145.8451916547</v>
      </c>
    </row>
    <row r="17" spans="1:25" ht="14.25">
      <c r="A17" s="3"/>
      <c r="B17" s="3">
        <v>11</v>
      </c>
      <c r="C17" s="117" t="s">
        <v>216</v>
      </c>
      <c r="D17" s="113">
        <f t="shared" si="11"/>
        <v>0</v>
      </c>
      <c r="E17" s="113">
        <f t="shared" si="0"/>
        <v>0</v>
      </c>
      <c r="F17" s="112">
        <f t="shared" si="1"/>
        <v>0</v>
      </c>
      <c r="G17" s="112">
        <f t="shared" si="2"/>
        <v>0</v>
      </c>
      <c r="H17" s="112">
        <f t="shared" si="3"/>
        <v>0</v>
      </c>
      <c r="I17" s="112">
        <f t="shared" si="4"/>
        <v>0</v>
      </c>
      <c r="J17" s="112">
        <f t="shared" si="8"/>
        <v>0</v>
      </c>
      <c r="K17" s="112">
        <f t="shared" si="9"/>
        <v>199.81487905959992</v>
      </c>
      <c r="L17" s="112">
        <f t="shared" si="10"/>
        <v>305.1718152910253</v>
      </c>
      <c r="M17" s="112">
        <f>Q17*$M$279/100</f>
        <v>450.49172733437075</v>
      </c>
      <c r="N17" s="122">
        <v>39.2375</v>
      </c>
      <c r="O17" s="122">
        <v>242.5</v>
      </c>
      <c r="P17" s="122">
        <v>501.09375</v>
      </c>
      <c r="Q17" s="112">
        <f t="shared" si="6"/>
        <v>1016.1507444023304</v>
      </c>
      <c r="R17" s="112">
        <f t="shared" si="7"/>
        <v>1738.309671684996</v>
      </c>
      <c r="T17" s="10">
        <v>0</v>
      </c>
      <c r="U17" s="10">
        <v>0</v>
      </c>
      <c r="V17" s="10">
        <v>0</v>
      </c>
      <c r="W17" s="10">
        <v>0</v>
      </c>
      <c r="X17" s="10">
        <v>1517.75536</v>
      </c>
      <c r="Y17" s="10">
        <v>1517.75536</v>
      </c>
    </row>
    <row r="18" spans="1:25" ht="14.25">
      <c r="A18" s="3"/>
      <c r="B18" s="3">
        <v>12</v>
      </c>
      <c r="C18" s="117" t="s">
        <v>217</v>
      </c>
      <c r="D18" s="113">
        <f t="shared" si="11"/>
        <v>0</v>
      </c>
      <c r="E18" s="113">
        <f t="shared" si="0"/>
        <v>0</v>
      </c>
      <c r="F18" s="112">
        <f t="shared" si="1"/>
        <v>0</v>
      </c>
      <c r="G18" s="112">
        <f t="shared" si="2"/>
        <v>0</v>
      </c>
      <c r="H18" s="112">
        <f t="shared" si="3"/>
        <v>0</v>
      </c>
      <c r="I18" s="112">
        <f t="shared" si="4"/>
        <v>0</v>
      </c>
      <c r="J18" s="112">
        <f t="shared" si="8"/>
        <v>0</v>
      </c>
      <c r="K18" s="112">
        <f t="shared" si="9"/>
        <v>979.5198961834484</v>
      </c>
      <c r="L18" s="112">
        <f t="shared" si="10"/>
        <v>1495.994023261994</v>
      </c>
      <c r="M18" s="112">
        <f>Q18*$M$279/100</f>
        <v>2208.3721295772293</v>
      </c>
      <c r="N18" s="122">
        <v>39.2375</v>
      </c>
      <c r="O18" s="122">
        <v>242.5</v>
      </c>
      <c r="P18" s="122">
        <v>501.09375</v>
      </c>
      <c r="Q18" s="112">
        <f t="shared" si="6"/>
        <v>4981.31008235287</v>
      </c>
      <c r="R18" s="112">
        <f t="shared" si="7"/>
        <v>5466.717299022672</v>
      </c>
      <c r="T18" s="10">
        <v>0</v>
      </c>
      <c r="U18" s="10">
        <v>0</v>
      </c>
      <c r="V18" s="10">
        <v>0</v>
      </c>
      <c r="W18" s="10">
        <v>0</v>
      </c>
      <c r="X18" s="10">
        <v>7440.24458867067</v>
      </c>
      <c r="Y18" s="10">
        <v>7440.24458867067</v>
      </c>
    </row>
    <row r="19" spans="1:25" ht="14.25">
      <c r="A19" s="3"/>
      <c r="B19" s="3">
        <v>13</v>
      </c>
      <c r="C19" s="117" t="s">
        <v>218</v>
      </c>
      <c r="D19" s="113">
        <f t="shared" si="11"/>
        <v>0</v>
      </c>
      <c r="E19" s="113">
        <f t="shared" si="0"/>
        <v>0</v>
      </c>
      <c r="F19" s="112">
        <f t="shared" si="1"/>
        <v>0</v>
      </c>
      <c r="G19" s="112">
        <f t="shared" si="2"/>
        <v>0</v>
      </c>
      <c r="H19" s="112">
        <f t="shared" si="3"/>
        <v>0</v>
      </c>
      <c r="I19" s="112">
        <f t="shared" si="4"/>
        <v>0</v>
      </c>
      <c r="J19" s="112">
        <f t="shared" si="8"/>
        <v>522.8832764606358</v>
      </c>
      <c r="K19" s="112">
        <f t="shared" si="9"/>
        <v>99.90743952979996</v>
      </c>
      <c r="L19" s="112">
        <f t="shared" si="10"/>
        <v>152.58590764551266</v>
      </c>
      <c r="M19" s="112">
        <f>Q19*$M$279/100</f>
        <v>225.24586366718538</v>
      </c>
      <c r="N19" s="122">
        <v>39.2375</v>
      </c>
      <c r="O19" s="122">
        <v>242.5</v>
      </c>
      <c r="P19" s="122">
        <v>501.09375</v>
      </c>
      <c r="Q19" s="112">
        <f t="shared" si="6"/>
        <v>508.0753722011652</v>
      </c>
      <c r="R19" s="112">
        <f t="shared" si="7"/>
        <v>1783.4537373031337</v>
      </c>
      <c r="T19" s="10">
        <v>0</v>
      </c>
      <c r="U19" s="10">
        <v>0</v>
      </c>
      <c r="V19" s="10">
        <v>0</v>
      </c>
      <c r="W19" s="10">
        <v>121.274288</v>
      </c>
      <c r="X19" s="10">
        <v>758.87768</v>
      </c>
      <c r="Y19" s="10">
        <v>880.151968</v>
      </c>
    </row>
    <row r="20" spans="1:25" ht="14.25">
      <c r="A20" s="3">
        <v>13</v>
      </c>
      <c r="B20" s="3"/>
      <c r="C20" s="101" t="s">
        <v>78</v>
      </c>
      <c r="D20" s="112">
        <f>SUM(D7:D19)</f>
        <v>58832.966926083296</v>
      </c>
      <c r="E20" s="112">
        <f>SUM(E7:E19)</f>
        <v>43849.57030542113</v>
      </c>
      <c r="F20" s="112">
        <f>SUM(F7:F19)</f>
        <v>102682.53723150444</v>
      </c>
      <c r="G20" s="112">
        <f t="shared" si="2"/>
        <v>5307.843671473803</v>
      </c>
      <c r="H20" s="112">
        <f aca="true" t="shared" si="12" ref="H20:R20">SUM(H7:H19)</f>
        <v>4971.544447611666</v>
      </c>
      <c r="I20" s="112">
        <f t="shared" si="12"/>
        <v>112961.92535058991</v>
      </c>
      <c r="J20" s="112">
        <f t="shared" si="12"/>
        <v>932069.1391951866</v>
      </c>
      <c r="K20" s="112">
        <f t="shared" si="12"/>
        <v>108133.18420745691</v>
      </c>
      <c r="L20" s="112">
        <f t="shared" si="12"/>
        <v>165378.46315320692</v>
      </c>
      <c r="M20" s="112">
        <f t="shared" si="12"/>
        <v>243982.7789404483</v>
      </c>
      <c r="N20" s="112">
        <f t="shared" si="12"/>
        <v>510.0875000000001</v>
      </c>
      <c r="O20" s="112">
        <f t="shared" si="12"/>
        <v>3152.5</v>
      </c>
      <c r="P20" s="112">
        <f t="shared" si="12"/>
        <v>6531.21875</v>
      </c>
      <c r="Q20" s="112">
        <f t="shared" si="12"/>
        <v>550578.3555410223</v>
      </c>
      <c r="R20" s="112">
        <f t="shared" si="12"/>
        <v>1572719.2970968885</v>
      </c>
      <c r="T20" s="10">
        <v>65392.6478745141</v>
      </c>
      <c r="U20" s="10">
        <v>49264.474997617</v>
      </c>
      <c r="V20" s="10">
        <v>114657.122872131</v>
      </c>
      <c r="W20" s="10">
        <v>216193.005769926</v>
      </c>
      <c r="X20" s="10">
        <v>822361.499832265</v>
      </c>
      <c r="Y20" s="10">
        <v>1153210.62847432</v>
      </c>
    </row>
    <row r="21" spans="1:25" ht="14.25">
      <c r="A21" s="3"/>
      <c r="B21" s="3"/>
      <c r="C21" s="101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T21" s="10"/>
      <c r="U21" s="10"/>
      <c r="V21" s="10"/>
      <c r="W21" s="10"/>
      <c r="X21" s="10"/>
      <c r="Y21" s="10"/>
    </row>
    <row r="22" spans="1:25" ht="14.25">
      <c r="A22" s="3"/>
      <c r="B22" s="3"/>
      <c r="C22" s="117" t="s">
        <v>199</v>
      </c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T22" s="10"/>
      <c r="U22" s="10"/>
      <c r="V22" s="10"/>
      <c r="W22" s="10"/>
      <c r="X22" s="10"/>
      <c r="Y22" s="10"/>
    </row>
    <row r="23" spans="1:25" ht="14.25">
      <c r="A23" s="3">
        <v>1</v>
      </c>
      <c r="B23" s="3">
        <v>14</v>
      </c>
      <c r="C23" s="117" t="s">
        <v>219</v>
      </c>
      <c r="D23" s="113">
        <f>T23*$D$279/100</f>
        <v>18649.4356001486</v>
      </c>
      <c r="E23" s="113">
        <f>U23*$E$279/100</f>
        <v>17456.173616110053</v>
      </c>
      <c r="F23" s="112">
        <f>D23+E23</f>
        <v>36105.60921625866</v>
      </c>
      <c r="G23" s="112">
        <f>E23*$G$279/100</f>
        <v>2113.01137071719</v>
      </c>
      <c r="H23" s="112">
        <f>E23*$H$279/100</f>
        <v>1979.1332597616822</v>
      </c>
      <c r="I23" s="112">
        <f>SUM(F23:H23)</f>
        <v>40197.75384673753</v>
      </c>
      <c r="J23" s="112">
        <f>W23*$J$279/100</f>
        <v>42690.675681200555</v>
      </c>
      <c r="K23" s="112">
        <f>Q23*$K$279/100</f>
        <v>3111.4161408180144</v>
      </c>
      <c r="L23" s="112">
        <f>Q23*$L$279/100</f>
        <v>4751.981015067513</v>
      </c>
      <c r="M23" s="112">
        <f>Q23*$M$279/100</f>
        <v>7014.8291174806145</v>
      </c>
      <c r="N23" s="122">
        <v>39.2375</v>
      </c>
      <c r="O23" s="122">
        <v>242.5</v>
      </c>
      <c r="P23" s="122">
        <v>501.09375</v>
      </c>
      <c r="Q23" s="112">
        <f>X23*$Q$279/100</f>
        <v>15822.98496747383</v>
      </c>
      <c r="R23" s="112">
        <f>I23+J23+K23+L23+M23+N23+O23+P23</f>
        <v>98549.48705130421</v>
      </c>
      <c r="T23" s="10">
        <v>20720.2981752007</v>
      </c>
      <c r="U23" s="10">
        <v>19611.4070560227</v>
      </c>
      <c r="V23" s="10">
        <v>40330.7052312234</v>
      </c>
      <c r="W23" s="10">
        <v>9901.40922563293</v>
      </c>
      <c r="X23" s="10">
        <v>23633.7181051892</v>
      </c>
      <c r="Y23" s="10">
        <v>73865.8325620455</v>
      </c>
    </row>
    <row r="24" spans="1:25" ht="14.25">
      <c r="A24" s="3"/>
      <c r="B24" s="3"/>
      <c r="C24" s="101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T24" s="10"/>
      <c r="U24" s="10"/>
      <c r="V24" s="10"/>
      <c r="W24" s="10"/>
      <c r="X24" s="10"/>
      <c r="Y24" s="10"/>
    </row>
    <row r="25" spans="1:25" ht="14.25">
      <c r="A25" s="3"/>
      <c r="B25" s="3"/>
      <c r="C25" s="117" t="s">
        <v>81</v>
      </c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T25" s="10"/>
      <c r="U25" s="10"/>
      <c r="V25" s="10"/>
      <c r="W25" s="10"/>
      <c r="X25" s="10"/>
      <c r="Y25" s="10"/>
    </row>
    <row r="26" spans="1:25" ht="14.25">
      <c r="A26" s="3"/>
      <c r="B26" s="3">
        <v>15</v>
      </c>
      <c r="C26" s="117" t="s">
        <v>220</v>
      </c>
      <c r="D26" s="113">
        <f aca="true" t="shared" si="13" ref="D26:D34">T26*$D$279/100</f>
        <v>46.983243777586786</v>
      </c>
      <c r="E26" s="113">
        <f aca="true" t="shared" si="14" ref="E26:E34">U26*$E$279/100</f>
        <v>1311.7243433900737</v>
      </c>
      <c r="F26" s="112">
        <f aca="true" t="shared" si="15" ref="F26:F34">D26+E26</f>
        <v>1358.7075871676604</v>
      </c>
      <c r="G26" s="112">
        <f aca="true" t="shared" si="16" ref="G26:G34">E26*$G$279/100</f>
        <v>158.7798399456691</v>
      </c>
      <c r="H26" s="112">
        <f aca="true" t="shared" si="17" ref="H26:H34">E26*$H$279/100</f>
        <v>148.7197213280731</v>
      </c>
      <c r="I26" s="112">
        <f aca="true" t="shared" si="18" ref="I26:I34">SUM(F26:H26)</f>
        <v>1666.2071484414028</v>
      </c>
      <c r="J26" s="112">
        <f aca="true" t="shared" si="19" ref="J26:J34">W26*$J$279/100</f>
        <v>88524.85897156298</v>
      </c>
      <c r="K26" s="112">
        <f aca="true" t="shared" si="20" ref="K26:K34">Q26*$K$279/100</f>
        <v>9212.050125101508</v>
      </c>
      <c r="L26" s="112">
        <f aca="true" t="shared" si="21" ref="L26:L34">Q26*$L$279/100</f>
        <v>14069.312918336847</v>
      </c>
      <c r="M26" s="112">
        <f aca="true" t="shared" si="22" ref="M26:M34">Q26*$M$279/100</f>
        <v>20768.98573659249</v>
      </c>
      <c r="N26" s="122">
        <v>39.2375</v>
      </c>
      <c r="O26" s="122">
        <v>242.5</v>
      </c>
      <c r="P26" s="122">
        <v>501.09375</v>
      </c>
      <c r="Q26" s="112">
        <f aca="true" t="shared" si="23" ref="Q26:Q34">X26*$Q$279/100</f>
        <v>46847.52024548367</v>
      </c>
      <c r="R26" s="112">
        <f aca="true" t="shared" si="24" ref="R26:R34">I26+J26+K26+L26+M26+N26+O26+P26</f>
        <v>135024.2461500352</v>
      </c>
      <c r="T26" s="10">
        <v>52.200336845689</v>
      </c>
      <c r="U26" s="10">
        <v>1473.67691277863</v>
      </c>
      <c r="V26" s="10">
        <v>1525.87724962432</v>
      </c>
      <c r="W26" s="10">
        <v>20531.9040125869</v>
      </c>
      <c r="X26" s="10">
        <v>69972.9595701985</v>
      </c>
      <c r="Y26" s="10">
        <v>92030.7408324097</v>
      </c>
    </row>
    <row r="27" spans="1:25" ht="14.25">
      <c r="A27" s="3"/>
      <c r="B27" s="3">
        <v>16</v>
      </c>
      <c r="C27" s="117" t="s">
        <v>221</v>
      </c>
      <c r="D27" s="113">
        <f t="shared" si="13"/>
        <v>247.72983082727606</v>
      </c>
      <c r="E27" s="113">
        <f t="shared" si="14"/>
        <v>1148.9842529545328</v>
      </c>
      <c r="F27" s="112">
        <f t="shared" si="15"/>
        <v>1396.714083781809</v>
      </c>
      <c r="G27" s="112">
        <f t="shared" si="16"/>
        <v>139.08069687318684</v>
      </c>
      <c r="H27" s="112">
        <f t="shared" si="17"/>
        <v>130.26869461621934</v>
      </c>
      <c r="I27" s="112">
        <f t="shared" si="18"/>
        <v>1666.063475271215</v>
      </c>
      <c r="J27" s="112">
        <f t="shared" si="19"/>
        <v>3057.1475100091006</v>
      </c>
      <c r="K27" s="112">
        <f t="shared" si="20"/>
        <v>3259.523570837054</v>
      </c>
      <c r="L27" s="112">
        <f t="shared" si="21"/>
        <v>4978.181453642046</v>
      </c>
      <c r="M27" s="112">
        <f t="shared" si="22"/>
        <v>7348.7440506144485</v>
      </c>
      <c r="N27" s="122">
        <v>39.2375</v>
      </c>
      <c r="O27" s="122">
        <v>242.5</v>
      </c>
      <c r="P27" s="122">
        <v>501.09375</v>
      </c>
      <c r="Q27" s="112">
        <f t="shared" si="23"/>
        <v>16576.179504205367</v>
      </c>
      <c r="R27" s="112">
        <f t="shared" si="24"/>
        <v>21092.49131037386</v>
      </c>
      <c r="T27" s="10">
        <v>275.238139731815</v>
      </c>
      <c r="U27" s="10">
        <v>1290.84405214989</v>
      </c>
      <c r="V27" s="10">
        <v>1566.0821918817</v>
      </c>
      <c r="W27" s="10">
        <v>709.055738207833</v>
      </c>
      <c r="X27" s="10">
        <v>24758.7136351776</v>
      </c>
      <c r="Y27" s="10">
        <v>27033.8515652671</v>
      </c>
    </row>
    <row r="28" spans="1:25" ht="14.25">
      <c r="A28" s="3"/>
      <c r="B28" s="3">
        <v>17</v>
      </c>
      <c r="C28" s="117" t="s">
        <v>222</v>
      </c>
      <c r="D28" s="113">
        <f t="shared" si="13"/>
        <v>662.0366168659957</v>
      </c>
      <c r="E28" s="113">
        <f t="shared" si="14"/>
        <v>1278.392035710501</v>
      </c>
      <c r="F28" s="112">
        <f t="shared" si="15"/>
        <v>1940.4286525764967</v>
      </c>
      <c r="G28" s="112">
        <f t="shared" si="16"/>
        <v>154.74507570190718</v>
      </c>
      <c r="H28" s="112">
        <f t="shared" si="17"/>
        <v>144.94059537504234</v>
      </c>
      <c r="I28" s="112">
        <f t="shared" si="18"/>
        <v>2240.1143236534463</v>
      </c>
      <c r="J28" s="112">
        <f t="shared" si="19"/>
        <v>20329.167340569</v>
      </c>
      <c r="K28" s="112">
        <f t="shared" si="20"/>
        <v>4780.041625236307</v>
      </c>
      <c r="L28" s="112">
        <f t="shared" si="21"/>
        <v>7300.427209451813</v>
      </c>
      <c r="M28" s="112">
        <f t="shared" si="22"/>
        <v>10776.82111871458</v>
      </c>
      <c r="N28" s="122">
        <v>39.2375</v>
      </c>
      <c r="O28" s="122">
        <v>242.5</v>
      </c>
      <c r="P28" s="122">
        <v>501.09375</v>
      </c>
      <c r="Q28" s="112">
        <f t="shared" si="23"/>
        <v>24308.71453926712</v>
      </c>
      <c r="R28" s="112">
        <f t="shared" si="24"/>
        <v>46209.40286762515</v>
      </c>
      <c r="T28" s="10">
        <v>735.550201007436</v>
      </c>
      <c r="U28" s="10">
        <v>1436.22921843298</v>
      </c>
      <c r="V28" s="10">
        <v>2171.77941944041</v>
      </c>
      <c r="W28" s="10">
        <v>4715.02036085096</v>
      </c>
      <c r="X28" s="10">
        <v>36308.276099707</v>
      </c>
      <c r="Y28" s="10">
        <v>43195.0758799984</v>
      </c>
    </row>
    <row r="29" spans="1:25" ht="14.25">
      <c r="A29" s="3"/>
      <c r="B29" s="3">
        <v>18</v>
      </c>
      <c r="C29" s="117" t="s">
        <v>223</v>
      </c>
      <c r="D29" s="113">
        <f t="shared" si="13"/>
        <v>0</v>
      </c>
      <c r="E29" s="113">
        <f t="shared" si="14"/>
        <v>1654.8510400915109</v>
      </c>
      <c r="F29" s="112">
        <f t="shared" si="15"/>
        <v>1654.8510400915109</v>
      </c>
      <c r="G29" s="112">
        <f t="shared" si="16"/>
        <v>200.31417774909497</v>
      </c>
      <c r="H29" s="112">
        <f t="shared" si="17"/>
        <v>187.62248849161958</v>
      </c>
      <c r="I29" s="112">
        <f t="shared" si="18"/>
        <v>2042.7877063322253</v>
      </c>
      <c r="J29" s="112">
        <f t="shared" si="19"/>
        <v>0</v>
      </c>
      <c r="K29" s="112">
        <f t="shared" si="20"/>
        <v>7818.7575131990225</v>
      </c>
      <c r="L29" s="112">
        <f t="shared" si="21"/>
        <v>11941.375111067598</v>
      </c>
      <c r="M29" s="112">
        <f t="shared" si="22"/>
        <v>17627.744211575977</v>
      </c>
      <c r="N29" s="122">
        <v>39.2375</v>
      </c>
      <c r="O29" s="122">
        <v>242.5</v>
      </c>
      <c r="P29" s="122">
        <v>501.09375</v>
      </c>
      <c r="Q29" s="112">
        <f t="shared" si="23"/>
        <v>39761.98521717038</v>
      </c>
      <c r="R29" s="112">
        <f t="shared" si="24"/>
        <v>40213.49579217483</v>
      </c>
      <c r="T29" s="10">
        <v>0</v>
      </c>
      <c r="U29" s="10">
        <v>1859.1678839838</v>
      </c>
      <c r="V29" s="10">
        <v>1859.1678839838</v>
      </c>
      <c r="W29" s="10">
        <v>0</v>
      </c>
      <c r="X29" s="10">
        <v>59389.7770779045</v>
      </c>
      <c r="Y29" s="10">
        <v>61248.9449618883</v>
      </c>
    </row>
    <row r="30" spans="1:25" ht="14.25">
      <c r="A30" s="3"/>
      <c r="B30" s="3">
        <v>19</v>
      </c>
      <c r="C30" s="117" t="s">
        <v>224</v>
      </c>
      <c r="D30" s="113">
        <f t="shared" si="13"/>
        <v>448.47641787696443</v>
      </c>
      <c r="E30" s="113">
        <f t="shared" si="14"/>
        <v>1623.4794563930948</v>
      </c>
      <c r="F30" s="112">
        <f t="shared" si="15"/>
        <v>2071.955874270059</v>
      </c>
      <c r="G30" s="112">
        <f t="shared" si="16"/>
        <v>196.51675257849615</v>
      </c>
      <c r="H30" s="112">
        <f t="shared" si="17"/>
        <v>184.0656640652383</v>
      </c>
      <c r="I30" s="112">
        <f t="shared" si="18"/>
        <v>2452.538290913794</v>
      </c>
      <c r="J30" s="112">
        <f t="shared" si="19"/>
        <v>15239.678830497358</v>
      </c>
      <c r="K30" s="112">
        <f t="shared" si="20"/>
        <v>1233.9707811770154</v>
      </c>
      <c r="L30" s="112">
        <f t="shared" si="21"/>
        <v>1884.6099203430779</v>
      </c>
      <c r="M30" s="112">
        <f t="shared" si="22"/>
        <v>2782.0432157445443</v>
      </c>
      <c r="N30" s="122">
        <v>39.2375</v>
      </c>
      <c r="O30" s="122">
        <v>242.5</v>
      </c>
      <c r="P30" s="122">
        <v>501.09375</v>
      </c>
      <c r="Q30" s="112">
        <f t="shared" si="23"/>
        <v>6275.310095849976</v>
      </c>
      <c r="R30" s="112">
        <f t="shared" si="24"/>
        <v>24375.67228867579</v>
      </c>
      <c r="T30" s="10">
        <v>498.27594261794</v>
      </c>
      <c r="U30" s="10">
        <v>1823.9229951879</v>
      </c>
      <c r="V30" s="10">
        <v>2322.19893780584</v>
      </c>
      <c r="W30" s="10">
        <v>3534.59611871212</v>
      </c>
      <c r="X30" s="10">
        <v>9373.00453314176</v>
      </c>
      <c r="Y30" s="10">
        <v>15229.7995896597</v>
      </c>
    </row>
    <row r="31" spans="1:25" ht="14.25">
      <c r="A31" s="3"/>
      <c r="B31" s="3">
        <v>20</v>
      </c>
      <c r="C31" s="117" t="s">
        <v>225</v>
      </c>
      <c r="D31" s="113">
        <f t="shared" si="13"/>
        <v>132.40732337319898</v>
      </c>
      <c r="E31" s="113">
        <f t="shared" si="14"/>
        <v>2729.327781762308</v>
      </c>
      <c r="F31" s="112">
        <f t="shared" si="15"/>
        <v>2861.7351051355067</v>
      </c>
      <c r="G31" s="112">
        <f t="shared" si="16"/>
        <v>330.3759898421099</v>
      </c>
      <c r="H31" s="112">
        <f t="shared" si="17"/>
        <v>309.4437250951837</v>
      </c>
      <c r="I31" s="112">
        <f t="shared" si="18"/>
        <v>3501.5548200728003</v>
      </c>
      <c r="J31" s="112">
        <f t="shared" si="19"/>
        <v>24399.60668063759</v>
      </c>
      <c r="K31" s="112">
        <f t="shared" si="20"/>
        <v>6153.612360034421</v>
      </c>
      <c r="L31" s="112">
        <f t="shared" si="21"/>
        <v>9398.244331688933</v>
      </c>
      <c r="M31" s="112">
        <f t="shared" si="22"/>
        <v>13873.59877535033</v>
      </c>
      <c r="N31" s="122">
        <v>39.2375</v>
      </c>
      <c r="O31" s="122">
        <v>242.5</v>
      </c>
      <c r="P31" s="122">
        <v>501.09375</v>
      </c>
      <c r="Q31" s="112">
        <f t="shared" si="23"/>
        <v>31293.954733707495</v>
      </c>
      <c r="R31" s="112">
        <f t="shared" si="24"/>
        <v>58109.44821778408</v>
      </c>
      <c r="T31" s="10">
        <v>147.110040201487</v>
      </c>
      <c r="U31" s="10">
        <v>3066.30532524343</v>
      </c>
      <c r="V31" s="10">
        <v>3213.41536544491</v>
      </c>
      <c r="W31" s="10">
        <v>5659.09269025385</v>
      </c>
      <c r="X31" s="10">
        <v>46741.6550096787</v>
      </c>
      <c r="Y31" s="10">
        <v>55614.1630653774</v>
      </c>
    </row>
    <row r="32" spans="1:25" ht="14.25">
      <c r="A32" s="3"/>
      <c r="B32" s="3">
        <v>21</v>
      </c>
      <c r="C32" s="117" t="s">
        <v>226</v>
      </c>
      <c r="D32" s="113">
        <f t="shared" si="13"/>
        <v>448.47641787696443</v>
      </c>
      <c r="E32" s="113">
        <f t="shared" si="14"/>
        <v>705.8606332143885</v>
      </c>
      <c r="F32" s="112">
        <f t="shared" si="15"/>
        <v>1154.3370510913528</v>
      </c>
      <c r="G32" s="112">
        <f t="shared" si="16"/>
        <v>85.44206633847652</v>
      </c>
      <c r="H32" s="112">
        <f t="shared" si="17"/>
        <v>80.02854959358181</v>
      </c>
      <c r="I32" s="112">
        <f t="shared" si="18"/>
        <v>1319.807667023411</v>
      </c>
      <c r="J32" s="112">
        <f t="shared" si="19"/>
        <v>14220.6296604943</v>
      </c>
      <c r="K32" s="112">
        <f t="shared" si="20"/>
        <v>1911.4752652328475</v>
      </c>
      <c r="L32" s="112">
        <f t="shared" si="21"/>
        <v>2919.344041446531</v>
      </c>
      <c r="M32" s="112">
        <f t="shared" si="22"/>
        <v>4309.507870706783</v>
      </c>
      <c r="N32" s="122">
        <v>39.2375</v>
      </c>
      <c r="O32" s="122">
        <v>242.5</v>
      </c>
      <c r="P32" s="122">
        <v>501.09375</v>
      </c>
      <c r="Q32" s="112">
        <f t="shared" si="23"/>
        <v>9720.732624188837</v>
      </c>
      <c r="R32" s="112">
        <f t="shared" si="24"/>
        <v>25463.595754903872</v>
      </c>
      <c r="T32" s="10">
        <v>498.27594261794</v>
      </c>
      <c r="U32" s="10">
        <v>793.009997907782</v>
      </c>
      <c r="V32" s="10">
        <v>1291.28594052572</v>
      </c>
      <c r="W32" s="10">
        <v>3298.24420597617</v>
      </c>
      <c r="X32" s="10">
        <v>14519.1981846819</v>
      </c>
      <c r="Y32" s="10">
        <v>19107.7283311838</v>
      </c>
    </row>
    <row r="33" spans="1:25" ht="14.25">
      <c r="A33" s="3"/>
      <c r="B33" s="3">
        <v>22</v>
      </c>
      <c r="C33" s="117" t="s">
        <v>227</v>
      </c>
      <c r="D33" s="113">
        <f t="shared" si="13"/>
        <v>0</v>
      </c>
      <c r="E33" s="113">
        <f t="shared" si="14"/>
        <v>0</v>
      </c>
      <c r="F33" s="112">
        <f t="shared" si="15"/>
        <v>0</v>
      </c>
      <c r="G33" s="112">
        <f t="shared" si="16"/>
        <v>0</v>
      </c>
      <c r="H33" s="112">
        <f t="shared" si="17"/>
        <v>0</v>
      </c>
      <c r="I33" s="112">
        <f t="shared" si="18"/>
        <v>0</v>
      </c>
      <c r="J33" s="112">
        <f t="shared" si="19"/>
        <v>0</v>
      </c>
      <c r="K33" s="112">
        <f t="shared" si="20"/>
        <v>99.90743952979996</v>
      </c>
      <c r="L33" s="112">
        <f t="shared" si="21"/>
        <v>152.58590764551266</v>
      </c>
      <c r="M33" s="112">
        <f t="shared" si="22"/>
        <v>225.24586366718538</v>
      </c>
      <c r="N33" s="122">
        <v>39.2375</v>
      </c>
      <c r="O33" s="122">
        <v>242.5</v>
      </c>
      <c r="P33" s="122">
        <v>501.09375</v>
      </c>
      <c r="Q33" s="112">
        <f t="shared" si="23"/>
        <v>508.0753722011652</v>
      </c>
      <c r="R33" s="112">
        <f t="shared" si="24"/>
        <v>1260.570460842498</v>
      </c>
      <c r="T33" s="10">
        <v>0</v>
      </c>
      <c r="U33" s="10">
        <v>0</v>
      </c>
      <c r="V33" s="10">
        <v>0</v>
      </c>
      <c r="W33" s="10">
        <v>0</v>
      </c>
      <c r="X33" s="10">
        <v>758.87768</v>
      </c>
      <c r="Y33" s="10">
        <v>758.87768</v>
      </c>
    </row>
    <row r="34" spans="1:25" ht="14.25">
      <c r="A34" s="3"/>
      <c r="B34" s="3">
        <v>23</v>
      </c>
      <c r="C34" s="101" t="s">
        <v>228</v>
      </c>
      <c r="D34" s="113">
        <f t="shared" si="13"/>
        <v>102.50889551473497</v>
      </c>
      <c r="E34" s="113">
        <f t="shared" si="14"/>
        <v>984.2834385378443</v>
      </c>
      <c r="F34" s="112">
        <f t="shared" si="15"/>
        <v>1086.7923340525792</v>
      </c>
      <c r="G34" s="112">
        <f t="shared" si="16"/>
        <v>119.14421472754256</v>
      </c>
      <c r="H34" s="112">
        <f t="shared" si="17"/>
        <v>111.59536637771714</v>
      </c>
      <c r="I34" s="112">
        <f t="shared" si="18"/>
        <v>1317.531915157839</v>
      </c>
      <c r="J34" s="112">
        <f t="shared" si="19"/>
        <v>14220.6296604943</v>
      </c>
      <c r="K34" s="112">
        <f t="shared" si="20"/>
        <v>917.6473405619114</v>
      </c>
      <c r="L34" s="112">
        <f t="shared" si="21"/>
        <v>1401.4977564945555</v>
      </c>
      <c r="M34" s="112">
        <f t="shared" si="22"/>
        <v>2068.877640539582</v>
      </c>
      <c r="N34" s="122">
        <v>39.2375</v>
      </c>
      <c r="O34" s="122">
        <f>242.5-18</f>
        <v>224.5</v>
      </c>
      <c r="P34" s="122">
        <v>501.09375</v>
      </c>
      <c r="Q34" s="112">
        <f t="shared" si="23"/>
        <v>4666.6596231438425</v>
      </c>
      <c r="R34" s="112">
        <f t="shared" si="24"/>
        <v>20691.015563248187</v>
      </c>
      <c r="T34" s="10">
        <v>113.891644026958</v>
      </c>
      <c r="U34" s="10">
        <v>1105.80838597141</v>
      </c>
      <c r="V34" s="10">
        <v>1219.70002999836</v>
      </c>
      <c r="W34" s="10">
        <v>3298.24420597617</v>
      </c>
      <c r="X34" s="10">
        <v>6970.27256569897</v>
      </c>
      <c r="Y34" s="10">
        <v>11488.2168016735</v>
      </c>
    </row>
    <row r="35" spans="1:25" ht="14.25">
      <c r="A35" s="3">
        <v>9</v>
      </c>
      <c r="B35" s="3"/>
      <c r="C35" s="101" t="s">
        <v>78</v>
      </c>
      <c r="D35" s="112">
        <f aca="true" t="shared" si="25" ref="D35:R35">SUM(D26:D34)</f>
        <v>2088.6187461127215</v>
      </c>
      <c r="E35" s="112">
        <f t="shared" si="25"/>
        <v>11436.902982054253</v>
      </c>
      <c r="F35" s="112">
        <f t="shared" si="25"/>
        <v>13525.521728166974</v>
      </c>
      <c r="G35" s="112">
        <f t="shared" si="25"/>
        <v>1384.398813756483</v>
      </c>
      <c r="H35" s="112">
        <f t="shared" si="25"/>
        <v>1296.6848049426756</v>
      </c>
      <c r="I35" s="112">
        <f t="shared" si="25"/>
        <v>16206.605346866134</v>
      </c>
      <c r="J35" s="112">
        <f t="shared" si="25"/>
        <v>179991.71865426464</v>
      </c>
      <c r="K35" s="112">
        <f t="shared" si="25"/>
        <v>35386.986020909884</v>
      </c>
      <c r="L35" s="112">
        <f t="shared" si="25"/>
        <v>54045.57865011692</v>
      </c>
      <c r="M35" s="112">
        <f t="shared" si="25"/>
        <v>79781.56848350592</v>
      </c>
      <c r="N35" s="112">
        <f t="shared" si="25"/>
        <v>353.13750000000005</v>
      </c>
      <c r="O35" s="112">
        <f t="shared" si="25"/>
        <v>2164.5</v>
      </c>
      <c r="P35" s="112">
        <f t="shared" si="25"/>
        <v>4509.84375</v>
      </c>
      <c r="Q35" s="112">
        <f t="shared" si="25"/>
        <v>179959.13195521783</v>
      </c>
      <c r="R35" s="112">
        <f t="shared" si="25"/>
        <v>372439.9384056635</v>
      </c>
      <c r="T35" s="10">
        <v>2319.54224704926</v>
      </c>
      <c r="U35" s="10">
        <v>12848.9647716558</v>
      </c>
      <c r="V35" s="10">
        <v>15168.5070187051</v>
      </c>
      <c r="W35" s="10">
        <v>41746.157332564</v>
      </c>
      <c r="X35" s="10">
        <v>268792.734356189</v>
      </c>
      <c r="Y35" s="10">
        <v>325708.398707458</v>
      </c>
    </row>
    <row r="36" spans="1:25" ht="14.25">
      <c r="A36" s="3"/>
      <c r="B36" s="3"/>
      <c r="C36" s="101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T36" s="10"/>
      <c r="U36" s="10"/>
      <c r="V36" s="10"/>
      <c r="W36" s="10"/>
      <c r="X36" s="10"/>
      <c r="Y36" s="10"/>
    </row>
    <row r="37" spans="1:25" ht="14.25">
      <c r="A37" s="3"/>
      <c r="B37" s="3"/>
      <c r="C37" s="101" t="s">
        <v>83</v>
      </c>
      <c r="D37" s="113">
        <f aca="true" t="shared" si="26" ref="D37:D44">T37*$D$279/100</f>
        <v>0</v>
      </c>
      <c r="E37" s="113">
        <f aca="true" t="shared" si="27" ref="E37:E44">U37*$E$279/100</f>
        <v>0</v>
      </c>
      <c r="F37" s="112">
        <f aca="true" t="shared" si="28" ref="F37:F44">D37+E37</f>
        <v>0</v>
      </c>
      <c r="G37" s="112">
        <f aca="true" t="shared" si="29" ref="G37:G44">E37*$G$279/100</f>
        <v>0</v>
      </c>
      <c r="H37" s="112">
        <f aca="true" t="shared" si="30" ref="H37:H44">E37*$H$279/100</f>
        <v>0</v>
      </c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T37" s="10"/>
      <c r="U37" s="10"/>
      <c r="V37" s="10"/>
      <c r="W37" s="10"/>
      <c r="X37" s="10"/>
      <c r="Y37" s="10"/>
    </row>
    <row r="38" spans="1:25" ht="14.25">
      <c r="A38" s="3"/>
      <c r="B38" s="3">
        <v>24</v>
      </c>
      <c r="C38" s="117" t="s">
        <v>229</v>
      </c>
      <c r="D38" s="113">
        <f t="shared" si="26"/>
        <v>9324.038287861113</v>
      </c>
      <c r="E38" s="113">
        <f t="shared" si="27"/>
        <v>34034.24686482039</v>
      </c>
      <c r="F38" s="112">
        <f t="shared" si="28"/>
        <v>43358.2851526815</v>
      </c>
      <c r="G38" s="112">
        <f t="shared" si="29"/>
        <v>4119.7316319535375</v>
      </c>
      <c r="H38" s="112">
        <f t="shared" si="30"/>
        <v>3858.7098995705314</v>
      </c>
      <c r="I38" s="112">
        <f aca="true" t="shared" si="31" ref="I38:I44">SUM(F38:H38)</f>
        <v>51336.72668420557</v>
      </c>
      <c r="J38" s="112">
        <f aca="true" t="shared" si="32" ref="J38:J44">W38*$J$279/100</f>
        <v>476586.84318464017</v>
      </c>
      <c r="K38" s="112">
        <f aca="true" t="shared" si="33" ref="K38:K44">Q38*$K$279/100</f>
        <v>26306.277132914052</v>
      </c>
      <c r="L38" s="112">
        <f aca="true" t="shared" si="34" ref="L38:L44">Q38*$L$279/100</f>
        <v>40176.85962117782</v>
      </c>
      <c r="M38" s="112">
        <f aca="true" t="shared" si="35" ref="M38:M44">Q38*$M$279/100</f>
        <v>59308.6975360244</v>
      </c>
      <c r="N38" s="122">
        <v>39.2375</v>
      </c>
      <c r="O38" s="122">
        <v>242.5</v>
      </c>
      <c r="P38" s="122">
        <v>501.09375</v>
      </c>
      <c r="Q38" s="112">
        <f aca="true" t="shared" si="36" ref="Q38:Q44">X38*$Q$279/100</f>
        <v>133779.54242882665</v>
      </c>
      <c r="R38" s="112">
        <f aca="true" t="shared" si="37" ref="R38:R44">I38+J38+K38+L38+M38+N38+O38+P38</f>
        <v>654498.235408962</v>
      </c>
      <c r="T38" s="10">
        <v>10359.3941212854</v>
      </c>
      <c r="U38" s="10">
        <v>38236.2987324535</v>
      </c>
      <c r="V38" s="10">
        <v>48594.6928537388</v>
      </c>
      <c r="W38" s="10">
        <v>110536.581832592</v>
      </c>
      <c r="X38" s="10">
        <v>199817.417541847</v>
      </c>
      <c r="Y38" s="10">
        <v>358948.692228178</v>
      </c>
    </row>
    <row r="39" spans="1:25" ht="14.25">
      <c r="A39" s="3"/>
      <c r="B39" s="3">
        <v>25</v>
      </c>
      <c r="C39" s="117" t="s">
        <v>230</v>
      </c>
      <c r="D39" s="113">
        <f t="shared" si="26"/>
        <v>9324.038287861113</v>
      </c>
      <c r="E39" s="113">
        <f t="shared" si="27"/>
        <v>11634.936104150556</v>
      </c>
      <c r="F39" s="112">
        <f t="shared" si="28"/>
        <v>20958.974392011667</v>
      </c>
      <c r="G39" s="112">
        <f t="shared" si="29"/>
        <v>1408.3700601458945</v>
      </c>
      <c r="H39" s="112">
        <f t="shared" si="30"/>
        <v>1319.1372591342129</v>
      </c>
      <c r="I39" s="112">
        <f t="shared" si="31"/>
        <v>23686.481711291774</v>
      </c>
      <c r="J39" s="112">
        <f t="shared" si="32"/>
        <v>0</v>
      </c>
      <c r="K39" s="112">
        <f t="shared" si="33"/>
        <v>2346.51667194677</v>
      </c>
      <c r="L39" s="112">
        <f t="shared" si="34"/>
        <v>3583.7709171550673</v>
      </c>
      <c r="M39" s="112">
        <f t="shared" si="35"/>
        <v>5290.328496752719</v>
      </c>
      <c r="N39" s="122">
        <v>39.2375</v>
      </c>
      <c r="O39" s="122">
        <v>242.5</v>
      </c>
      <c r="P39" s="122">
        <v>501.09375</v>
      </c>
      <c r="Q39" s="112">
        <f t="shared" si="36"/>
        <v>11933.118665502265</v>
      </c>
      <c r="R39" s="112">
        <f t="shared" si="37"/>
        <v>35689.92904714633</v>
      </c>
      <c r="T39" s="10">
        <v>10359.3941212854</v>
      </c>
      <c r="U39" s="10">
        <v>13071.44813218</v>
      </c>
      <c r="V39" s="10">
        <v>23429.8422534654</v>
      </c>
      <c r="W39" s="10">
        <v>0</v>
      </c>
      <c r="X39" s="10">
        <v>17823.6889712016</v>
      </c>
      <c r="Y39" s="10">
        <v>41253.5312246669</v>
      </c>
    </row>
    <row r="40" spans="1:25" ht="14.25">
      <c r="A40" s="3"/>
      <c r="B40" s="3">
        <v>26</v>
      </c>
      <c r="C40" s="117" t="s">
        <v>231</v>
      </c>
      <c r="D40" s="113">
        <f t="shared" si="26"/>
        <v>9324.038287861113</v>
      </c>
      <c r="E40" s="113">
        <f t="shared" si="27"/>
        <v>21303.266055206466</v>
      </c>
      <c r="F40" s="112">
        <f t="shared" si="28"/>
        <v>30627.30434306758</v>
      </c>
      <c r="G40" s="112">
        <f t="shared" si="29"/>
        <v>2578.6890299098527</v>
      </c>
      <c r="H40" s="112">
        <f t="shared" si="30"/>
        <v>2415.306087039628</v>
      </c>
      <c r="I40" s="112">
        <f t="shared" si="31"/>
        <v>35621.29946001706</v>
      </c>
      <c r="J40" s="112">
        <f t="shared" si="32"/>
        <v>13201.580490491286</v>
      </c>
      <c r="K40" s="112">
        <f t="shared" si="33"/>
        <v>1143.0954651078837</v>
      </c>
      <c r="L40" s="112">
        <f t="shared" si="34"/>
        <v>1745.8185285284042</v>
      </c>
      <c r="M40" s="112">
        <f t="shared" si="35"/>
        <v>2577.1606849705017</v>
      </c>
      <c r="N40" s="122">
        <v>39.2375</v>
      </c>
      <c r="O40" s="122">
        <v>242.5</v>
      </c>
      <c r="P40" s="122">
        <v>501.09375</v>
      </c>
      <c r="Q40" s="112">
        <f t="shared" si="36"/>
        <v>5813.167233886721</v>
      </c>
      <c r="R40" s="112">
        <f t="shared" si="37"/>
        <v>55071.78587911514</v>
      </c>
      <c r="T40" s="10">
        <v>10359.3941212854</v>
      </c>
      <c r="U40" s="10">
        <v>23933.4822979668</v>
      </c>
      <c r="V40" s="10">
        <v>34291.8764192522</v>
      </c>
      <c r="W40" s="10">
        <v>3061.89229324023</v>
      </c>
      <c r="X40" s="10">
        <v>8682.73312440208</v>
      </c>
      <c r="Y40" s="10">
        <v>46036.5018368945</v>
      </c>
    </row>
    <row r="41" spans="1:25" ht="14.25">
      <c r="A41" s="3"/>
      <c r="B41" s="3">
        <v>27</v>
      </c>
      <c r="C41" s="117" t="s">
        <v>232</v>
      </c>
      <c r="D41" s="113">
        <f t="shared" si="26"/>
        <v>0</v>
      </c>
      <c r="E41" s="113">
        <f t="shared" si="27"/>
        <v>3278.3304964846056</v>
      </c>
      <c r="F41" s="112">
        <f t="shared" si="28"/>
        <v>3278.3304964846056</v>
      </c>
      <c r="G41" s="112">
        <f t="shared" si="29"/>
        <v>396.83093032759115</v>
      </c>
      <c r="H41" s="112">
        <f t="shared" si="30"/>
        <v>371.6881525568579</v>
      </c>
      <c r="I41" s="112">
        <f t="shared" si="31"/>
        <v>4046.8495793690545</v>
      </c>
      <c r="J41" s="112">
        <f t="shared" si="32"/>
        <v>60999.016701593864</v>
      </c>
      <c r="K41" s="112">
        <f t="shared" si="33"/>
        <v>13876.467412020053</v>
      </c>
      <c r="L41" s="112">
        <f t="shared" si="34"/>
        <v>21193.150229266983</v>
      </c>
      <c r="M41" s="112">
        <f t="shared" si="35"/>
        <v>31285.126528917932</v>
      </c>
      <c r="N41" s="122">
        <v>39.2375</v>
      </c>
      <c r="O41" s="122">
        <v>242.5</v>
      </c>
      <c r="P41" s="122">
        <v>501.09375</v>
      </c>
      <c r="Q41" s="112">
        <f t="shared" si="36"/>
        <v>70568.23173910384</v>
      </c>
      <c r="R41" s="112">
        <f t="shared" si="37"/>
        <v>132183.44170116787</v>
      </c>
      <c r="T41" s="10">
        <v>0</v>
      </c>
      <c r="U41" s="10">
        <v>3683.0908791717</v>
      </c>
      <c r="V41" s="10">
        <v>3683.0908791717</v>
      </c>
      <c r="W41" s="10">
        <v>14147.7317256346</v>
      </c>
      <c r="X41" s="10">
        <v>105402.975451977</v>
      </c>
      <c r="Y41" s="10">
        <v>123233.798056783</v>
      </c>
    </row>
    <row r="42" spans="1:25" ht="14.25">
      <c r="A42" s="3"/>
      <c r="B42" s="3">
        <v>28</v>
      </c>
      <c r="C42" s="117" t="s">
        <v>233</v>
      </c>
      <c r="D42" s="113">
        <f t="shared" si="26"/>
        <v>18648.076575722134</v>
      </c>
      <c r="E42" s="113">
        <f t="shared" si="27"/>
        <v>51788.60251414344</v>
      </c>
      <c r="F42" s="112">
        <f t="shared" si="28"/>
        <v>70436.67908986557</v>
      </c>
      <c r="G42" s="112">
        <f t="shared" si="29"/>
        <v>6268.8369394393885</v>
      </c>
      <c r="H42" s="112">
        <f t="shared" si="30"/>
        <v>5871.6502233757665</v>
      </c>
      <c r="I42" s="112">
        <f t="shared" si="31"/>
        <v>82577.16625268073</v>
      </c>
      <c r="J42" s="112">
        <f t="shared" si="32"/>
        <v>34975.84015688379</v>
      </c>
      <c r="K42" s="112">
        <f t="shared" si="33"/>
        <v>12340.867922188068</v>
      </c>
      <c r="L42" s="112">
        <f t="shared" si="34"/>
        <v>18847.87100843269</v>
      </c>
      <c r="M42" s="112">
        <f t="shared" si="35"/>
        <v>27823.04767911492</v>
      </c>
      <c r="N42" s="122">
        <v>39.2375</v>
      </c>
      <c r="O42" s="122">
        <v>242.5</v>
      </c>
      <c r="P42" s="122">
        <v>501.09375</v>
      </c>
      <c r="Q42" s="112">
        <f t="shared" si="36"/>
        <v>62759.00065460998</v>
      </c>
      <c r="R42" s="112">
        <f t="shared" si="37"/>
        <v>177347.6242693002</v>
      </c>
      <c r="T42" s="10">
        <v>20718.7882425707</v>
      </c>
      <c r="U42" s="10">
        <v>58182.702985384</v>
      </c>
      <c r="V42" s="10">
        <v>78902.4912279547</v>
      </c>
      <c r="W42" s="10">
        <v>8112.07836085233</v>
      </c>
      <c r="X42" s="10">
        <v>93738.8573068484</v>
      </c>
      <c r="Y42" s="10">
        <v>180753.426895655</v>
      </c>
    </row>
    <row r="43" spans="1:25" ht="14.25">
      <c r="A43" s="3"/>
      <c r="B43" s="3">
        <v>29</v>
      </c>
      <c r="C43" s="117" t="s">
        <v>234</v>
      </c>
      <c r="D43" s="113">
        <f t="shared" si="26"/>
        <v>0</v>
      </c>
      <c r="E43" s="113">
        <f t="shared" si="27"/>
        <v>0</v>
      </c>
      <c r="F43" s="112">
        <f t="shared" si="28"/>
        <v>0</v>
      </c>
      <c r="G43" s="112">
        <f t="shared" si="29"/>
        <v>0</v>
      </c>
      <c r="H43" s="112">
        <f t="shared" si="30"/>
        <v>0</v>
      </c>
      <c r="I43" s="112">
        <f t="shared" si="31"/>
        <v>0</v>
      </c>
      <c r="J43" s="112">
        <f t="shared" si="32"/>
        <v>0</v>
      </c>
      <c r="K43" s="112">
        <f t="shared" si="33"/>
        <v>2268.7892739472145</v>
      </c>
      <c r="L43" s="112">
        <f t="shared" si="34"/>
        <v>3465.0599820284724</v>
      </c>
      <c r="M43" s="112">
        <f t="shared" si="35"/>
        <v>5115.088544899175</v>
      </c>
      <c r="N43" s="122">
        <v>39.2375</v>
      </c>
      <c r="O43" s="122">
        <v>242.5</v>
      </c>
      <c r="P43" s="122">
        <v>501.09375</v>
      </c>
      <c r="Q43" s="112">
        <f t="shared" si="36"/>
        <v>11537.839026120924</v>
      </c>
      <c r="R43" s="112">
        <f t="shared" si="37"/>
        <v>11631.76905087486</v>
      </c>
      <c r="T43" s="10">
        <v>0</v>
      </c>
      <c r="U43" s="10">
        <v>0</v>
      </c>
      <c r="V43" s="10">
        <v>0</v>
      </c>
      <c r="W43" s="10">
        <v>0</v>
      </c>
      <c r="X43" s="10">
        <v>17233.2866173434</v>
      </c>
      <c r="Y43" s="10">
        <v>17233.2866173434</v>
      </c>
    </row>
    <row r="44" spans="1:25" ht="14.25">
      <c r="A44" s="3"/>
      <c r="B44" s="3">
        <v>30</v>
      </c>
      <c r="C44" s="117" t="s">
        <v>235</v>
      </c>
      <c r="D44" s="113">
        <f t="shared" si="26"/>
        <v>0</v>
      </c>
      <c r="E44" s="113">
        <f t="shared" si="27"/>
        <v>0</v>
      </c>
      <c r="F44" s="112">
        <f t="shared" si="28"/>
        <v>0</v>
      </c>
      <c r="G44" s="112">
        <f t="shared" si="29"/>
        <v>0</v>
      </c>
      <c r="H44" s="112">
        <f t="shared" si="30"/>
        <v>0</v>
      </c>
      <c r="I44" s="112">
        <f t="shared" si="31"/>
        <v>0</v>
      </c>
      <c r="J44" s="112">
        <f t="shared" si="32"/>
        <v>522.8832764606358</v>
      </c>
      <c r="K44" s="112">
        <f t="shared" si="33"/>
        <v>199.81487905959992</v>
      </c>
      <c r="L44" s="112">
        <f t="shared" si="34"/>
        <v>305.1718152910253</v>
      </c>
      <c r="M44" s="112">
        <f t="shared" si="35"/>
        <v>450.49172733437075</v>
      </c>
      <c r="N44" s="122">
        <v>39.2375</v>
      </c>
      <c r="O44" s="122">
        <v>242.5</v>
      </c>
      <c r="P44" s="122">
        <v>501.09375</v>
      </c>
      <c r="Q44" s="112">
        <f t="shared" si="36"/>
        <v>1016.1507444023304</v>
      </c>
      <c r="R44" s="112">
        <f t="shared" si="37"/>
        <v>2261.192948145632</v>
      </c>
      <c r="T44" s="10">
        <v>0</v>
      </c>
      <c r="U44" s="10">
        <v>0</v>
      </c>
      <c r="V44" s="10">
        <v>0</v>
      </c>
      <c r="W44" s="10">
        <v>121.274288</v>
      </c>
      <c r="X44" s="10">
        <v>1517.75536</v>
      </c>
      <c r="Y44" s="10">
        <v>1639.029648</v>
      </c>
    </row>
    <row r="45" spans="1:25" ht="14.25">
      <c r="A45" s="3">
        <v>7</v>
      </c>
      <c r="B45" s="3"/>
      <c r="C45" s="101" t="s">
        <v>78</v>
      </c>
      <c r="D45" s="112">
        <f aca="true" t="shared" si="38" ref="D45:R45">SUM(D37:D44)</f>
        <v>46620.191439305476</v>
      </c>
      <c r="E45" s="112">
        <f t="shared" si="38"/>
        <v>122039.38203480546</v>
      </c>
      <c r="F45" s="112">
        <f t="shared" si="38"/>
        <v>168659.57347411092</v>
      </c>
      <c r="G45" s="112">
        <f t="shared" si="38"/>
        <v>14772.458591776263</v>
      </c>
      <c r="H45" s="112">
        <f t="shared" si="38"/>
        <v>13836.491621676996</v>
      </c>
      <c r="I45" s="112">
        <f t="shared" si="38"/>
        <v>197268.5236875642</v>
      </c>
      <c r="J45" s="112">
        <f t="shared" si="38"/>
        <v>586286.1638100697</v>
      </c>
      <c r="K45" s="112">
        <f t="shared" si="38"/>
        <v>58481.82875718364</v>
      </c>
      <c r="L45" s="112">
        <f t="shared" si="38"/>
        <v>89317.70210188045</v>
      </c>
      <c r="M45" s="112">
        <f t="shared" si="38"/>
        <v>131849.94119801404</v>
      </c>
      <c r="N45" s="112">
        <f t="shared" si="38"/>
        <v>274.6625</v>
      </c>
      <c r="O45" s="112">
        <f t="shared" si="38"/>
        <v>1697.5</v>
      </c>
      <c r="P45" s="112">
        <f t="shared" si="38"/>
        <v>3507.65625</v>
      </c>
      <c r="Q45" s="112">
        <f t="shared" si="38"/>
        <v>297407.0504924527</v>
      </c>
      <c r="R45" s="112">
        <f t="shared" si="38"/>
        <v>1068683.978304712</v>
      </c>
      <c r="T45" s="10">
        <v>51795.9706064268</v>
      </c>
      <c r="U45" s="10">
        <v>137106.023027156</v>
      </c>
      <c r="V45" s="10">
        <v>188901.993633583</v>
      </c>
      <c r="W45" s="10">
        <v>135979.558500319</v>
      </c>
      <c r="X45" s="10">
        <v>444216.71437362</v>
      </c>
      <c r="Y45" s="10">
        <v>769099.266507521</v>
      </c>
    </row>
    <row r="46" spans="1:25" ht="14.25">
      <c r="A46" s="3"/>
      <c r="B46" s="3"/>
      <c r="C46" s="101" t="s">
        <v>93</v>
      </c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T46" s="10"/>
      <c r="U46" s="10"/>
      <c r="V46" s="10"/>
      <c r="W46" s="10"/>
      <c r="X46" s="10"/>
      <c r="Y46" s="10"/>
    </row>
    <row r="47" spans="1:25" ht="14.25">
      <c r="A47" s="3"/>
      <c r="B47" s="3">
        <v>31</v>
      </c>
      <c r="C47" s="117" t="s">
        <v>236</v>
      </c>
      <c r="D47" s="113">
        <f>T47*$D$279/100</f>
        <v>9324.038287861113</v>
      </c>
      <c r="E47" s="113">
        <f>U47*$E$279/100</f>
        <v>4915.535020745752</v>
      </c>
      <c r="F47" s="112">
        <f>D47+E47</f>
        <v>14239.573308606865</v>
      </c>
      <c r="G47" s="112">
        <f>E47*$G$279/100</f>
        <v>595.0090564182236</v>
      </c>
      <c r="H47" s="112">
        <f>E47*$H$279/100</f>
        <v>557.3099273086374</v>
      </c>
      <c r="I47" s="112">
        <f>SUM(F47:H47)</f>
        <v>15391.892292333727</v>
      </c>
      <c r="J47" s="112">
        <f>W47*$J$279/100</f>
        <v>30502.387020768732</v>
      </c>
      <c r="K47" s="112">
        <f>Q47*$K$279/100</f>
        <v>10864.047360196519</v>
      </c>
      <c r="L47" s="112">
        <f>Q47*$L$279/100</f>
        <v>16592.36324102741</v>
      </c>
      <c r="M47" s="112">
        <f>Q47*$M$279/100</f>
        <v>24493.488593897604</v>
      </c>
      <c r="N47" s="122">
        <v>39.2375</v>
      </c>
      <c r="O47" s="122">
        <v>242.5</v>
      </c>
      <c r="P47" s="122">
        <v>501.09375</v>
      </c>
      <c r="Q47" s="112">
        <f>X47*$Q$279/100</f>
        <v>55248.687506364564</v>
      </c>
      <c r="R47" s="112">
        <f>I47+J47+K47+L47+M47+N47+O47+P47</f>
        <v>98627.009758224</v>
      </c>
      <c r="T47" s="10">
        <v>10359.3941212854</v>
      </c>
      <c r="U47" s="10">
        <v>5522.4335132078</v>
      </c>
      <c r="V47" s="10">
        <v>15880.8276344932</v>
      </c>
      <c r="W47" s="10">
        <v>7074.53352358775</v>
      </c>
      <c r="X47" s="10">
        <v>82521.2125835427</v>
      </c>
      <c r="Y47" s="10">
        <v>105476.573741624</v>
      </c>
    </row>
    <row r="48" spans="1:25" ht="14.25">
      <c r="A48" s="3"/>
      <c r="B48" s="3">
        <v>32</v>
      </c>
      <c r="C48" s="117" t="s">
        <v>237</v>
      </c>
      <c r="D48" s="113">
        <f>T48*$D$279/100</f>
        <v>0</v>
      </c>
      <c r="E48" s="113">
        <f>U48*$E$279/100</f>
        <v>1637.2045242611553</v>
      </c>
      <c r="F48" s="112">
        <f>D48+E48</f>
        <v>1637.2045242611553</v>
      </c>
      <c r="G48" s="112">
        <f>E48*$G$279/100</f>
        <v>198.17812609063355</v>
      </c>
      <c r="H48" s="112">
        <f>E48*$H$279/100</f>
        <v>185.6217747517805</v>
      </c>
      <c r="I48" s="112">
        <f>SUM(F48:H48)</f>
        <v>2021.0044251035692</v>
      </c>
      <c r="J48" s="112">
        <f>W48*$J$279/100</f>
        <v>60476.13342513324</v>
      </c>
      <c r="K48" s="112">
        <f>Q48*$K$279/100</f>
        <v>10202.121831338563</v>
      </c>
      <c r="L48" s="112">
        <f>Q48*$L$279/100</f>
        <v>15581.422433317079</v>
      </c>
      <c r="M48" s="112">
        <f>Q48*$M$279/100</f>
        <v>23001.147401563307</v>
      </c>
      <c r="N48" s="122">
        <v>39.2375</v>
      </c>
      <c r="O48" s="122">
        <v>242.5</v>
      </c>
      <c r="P48" s="122">
        <v>501.09375</v>
      </c>
      <c r="Q48" s="112">
        <f>X48*$Q$279/100</f>
        <v>51882.4911447448</v>
      </c>
      <c r="R48" s="112">
        <f>I48+J48+K48+L48+M48+N48+O48+P48</f>
        <v>112064.66076645577</v>
      </c>
      <c r="T48" s="10">
        <v>0</v>
      </c>
      <c r="U48" s="10">
        <v>1839.34263403611</v>
      </c>
      <c r="V48" s="10">
        <v>1839.34263403611</v>
      </c>
      <c r="W48" s="10">
        <v>14026.4574376346</v>
      </c>
      <c r="X48" s="10">
        <v>77493.3536769728</v>
      </c>
      <c r="Y48" s="10">
        <v>93358.1537486435</v>
      </c>
    </row>
    <row r="49" spans="1:25" ht="14.25">
      <c r="A49" s="3">
        <v>2</v>
      </c>
      <c r="B49" s="3"/>
      <c r="C49" s="101" t="s">
        <v>78</v>
      </c>
      <c r="D49" s="112">
        <f aca="true" t="shared" si="39" ref="D49:R49">SUM(D47:D48)</f>
        <v>9324.038287861113</v>
      </c>
      <c r="E49" s="112">
        <f t="shared" si="39"/>
        <v>6552.739545006907</v>
      </c>
      <c r="F49" s="112">
        <f t="shared" si="39"/>
        <v>15876.77783286802</v>
      </c>
      <c r="G49" s="112">
        <f t="shared" si="39"/>
        <v>793.1871825088572</v>
      </c>
      <c r="H49" s="112">
        <f t="shared" si="39"/>
        <v>742.9317020604178</v>
      </c>
      <c r="I49" s="112">
        <f t="shared" si="39"/>
        <v>17412.896717437296</v>
      </c>
      <c r="J49" s="112">
        <f t="shared" si="39"/>
        <v>90978.52044590197</v>
      </c>
      <c r="K49" s="112">
        <f t="shared" si="39"/>
        <v>21066.169191535082</v>
      </c>
      <c r="L49" s="112">
        <f t="shared" si="39"/>
        <v>32173.78567434449</v>
      </c>
      <c r="M49" s="112">
        <f t="shared" si="39"/>
        <v>47494.63599546091</v>
      </c>
      <c r="N49" s="112">
        <f t="shared" si="39"/>
        <v>78.475</v>
      </c>
      <c r="O49" s="112">
        <f t="shared" si="39"/>
        <v>485</v>
      </c>
      <c r="P49" s="112">
        <f t="shared" si="39"/>
        <v>1002.1875</v>
      </c>
      <c r="Q49" s="112">
        <f t="shared" si="39"/>
        <v>107131.17865110937</v>
      </c>
      <c r="R49" s="112">
        <f t="shared" si="39"/>
        <v>210691.67052467976</v>
      </c>
      <c r="T49" s="10">
        <v>10359.3941212854</v>
      </c>
      <c r="U49" s="10">
        <v>7360.77614724391</v>
      </c>
      <c r="V49" s="10">
        <v>17720.1702685293</v>
      </c>
      <c r="W49" s="10">
        <v>21100.9909612224</v>
      </c>
      <c r="X49" s="10">
        <v>160013.566260515</v>
      </c>
      <c r="Y49" s="10">
        <v>198834.727490267</v>
      </c>
    </row>
    <row r="50" spans="1:25" ht="14.25">
      <c r="A50" s="3"/>
      <c r="B50" s="3"/>
      <c r="C50" s="101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T50" s="10"/>
      <c r="U50" s="10"/>
      <c r="V50" s="10"/>
      <c r="W50" s="10"/>
      <c r="X50" s="10"/>
      <c r="Y50" s="10"/>
    </row>
    <row r="51" spans="1:25" ht="14.25">
      <c r="A51" s="3"/>
      <c r="B51" s="3"/>
      <c r="C51" s="117" t="s">
        <v>96</v>
      </c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T51" s="10"/>
      <c r="U51" s="10"/>
      <c r="V51" s="10"/>
      <c r="W51" s="10"/>
      <c r="X51" s="10"/>
      <c r="Y51" s="10"/>
    </row>
    <row r="52" spans="1:25" ht="14.25">
      <c r="A52" s="3"/>
      <c r="B52" s="3">
        <v>33</v>
      </c>
      <c r="C52" s="117" t="s">
        <v>238</v>
      </c>
      <c r="D52" s="113">
        <f>T52*$D$279/100-55</f>
        <v>30723.295878299134</v>
      </c>
      <c r="E52" s="113">
        <f>U52*$E$279/100</f>
        <v>34906.7690364327</v>
      </c>
      <c r="F52" s="112">
        <f aca="true" t="shared" si="40" ref="F52:F61">D52+E52</f>
        <v>65630.06491473183</v>
      </c>
      <c r="G52" s="112">
        <f aca="true" t="shared" si="41" ref="G52:G61">E52*$G$279/100</f>
        <v>4225.34751951083</v>
      </c>
      <c r="H52" s="112">
        <f aca="true" t="shared" si="42" ref="H52:H61">E52*$H$279/100</f>
        <v>3957.6340789292735</v>
      </c>
      <c r="I52" s="112">
        <f aca="true" t="shared" si="43" ref="I52:I61">SUM(F52:H52)</f>
        <v>73813.04651317194</v>
      </c>
      <c r="J52" s="112">
        <f aca="true" t="shared" si="44" ref="J52:J61">W52*$J$279/100</f>
        <v>247030.18495661128</v>
      </c>
      <c r="K52" s="112">
        <f aca="true" t="shared" si="45" ref="K52:K61">Q52*$K$279/100</f>
        <v>9324.580835638155</v>
      </c>
      <c r="L52" s="112">
        <f aca="true" t="shared" si="46" ref="L52:L61">Q52*$L$279/100</f>
        <v>14241.178003520092</v>
      </c>
      <c r="M52" s="112">
        <f aca="true" t="shared" si="47" ref="M52:M61">Q52*$M$279/100</f>
        <v>21022.69133852966</v>
      </c>
      <c r="N52" s="122">
        <v>39.2375</v>
      </c>
      <c r="O52" s="122">
        <v>242.5</v>
      </c>
      <c r="P52" s="122">
        <v>495</v>
      </c>
      <c r="Q52" s="112">
        <f aca="true" t="shared" si="48" ref="Q52:Q61">X52*$Q$279/100</f>
        <v>47419.79076816997</v>
      </c>
      <c r="R52" s="112">
        <f aca="true" t="shared" si="49" ref="R52:R61">I52+J52+K52+L52+M52+N52+O52+P52</f>
        <v>366208.4191474711</v>
      </c>
      <c r="T52" s="10">
        <v>34195.9661190941</v>
      </c>
      <c r="U52" s="10">
        <v>39216.5472020896</v>
      </c>
      <c r="V52" s="10">
        <v>73412.5133211837</v>
      </c>
      <c r="W52" s="10">
        <v>57294.6413545829</v>
      </c>
      <c r="X52" s="10">
        <v>70827.7211869781</v>
      </c>
      <c r="Y52" s="10">
        <v>201535.875862745</v>
      </c>
    </row>
    <row r="53" spans="1:25" ht="14.25">
      <c r="A53" s="3"/>
      <c r="B53" s="3">
        <v>34</v>
      </c>
      <c r="C53" s="117" t="s">
        <v>239</v>
      </c>
      <c r="D53" s="113">
        <f>T53*$D$279/100</f>
        <v>13522.631799985387</v>
      </c>
      <c r="E53" s="113">
        <f>U53*$E$279/100+92</f>
        <v>1121.3800901043205</v>
      </c>
      <c r="F53" s="112">
        <f t="shared" si="40"/>
        <v>14644.011890089707</v>
      </c>
      <c r="G53" s="112">
        <f t="shared" si="41"/>
        <v>135.73930538245386</v>
      </c>
      <c r="H53" s="112">
        <f t="shared" si="42"/>
        <v>127.13901006986987</v>
      </c>
      <c r="I53" s="112">
        <f t="shared" si="43"/>
        <v>14906.890205542031</v>
      </c>
      <c r="J53" s="112">
        <f t="shared" si="44"/>
        <v>10777.740374269373</v>
      </c>
      <c r="K53" s="112">
        <f t="shared" si="45"/>
        <v>5333.796290176746</v>
      </c>
      <c r="L53" s="112">
        <f t="shared" si="46"/>
        <v>8146.1616068153935</v>
      </c>
      <c r="M53" s="112">
        <f t="shared" si="47"/>
        <v>12025.286181489391</v>
      </c>
      <c r="N53" s="122">
        <v>39.2375</v>
      </c>
      <c r="O53" s="122">
        <v>242.5</v>
      </c>
      <c r="P53" s="122">
        <v>495</v>
      </c>
      <c r="Q53" s="112">
        <f t="shared" si="48"/>
        <v>27124.812207487572</v>
      </c>
      <c r="R53" s="112">
        <f t="shared" si="49"/>
        <v>51966.61215829294</v>
      </c>
      <c r="T53" s="10">
        <v>15024.2060412228</v>
      </c>
      <c r="U53" s="10">
        <v>1156.47291361552</v>
      </c>
      <c r="V53" s="10">
        <v>16179.6789548383</v>
      </c>
      <c r="W53" s="10">
        <v>2499.72192452931</v>
      </c>
      <c r="X53" s="10">
        <v>40514.4899452118</v>
      </c>
      <c r="Y53" s="10">
        <v>59193.8908245794</v>
      </c>
    </row>
    <row r="54" spans="1:25" ht="14.25">
      <c r="A54" s="3"/>
      <c r="B54" s="3">
        <v>35</v>
      </c>
      <c r="C54" s="117" t="s">
        <v>240</v>
      </c>
      <c r="D54" s="113">
        <f>T54*$D$279/100-25</f>
        <v>33397.17114178329</v>
      </c>
      <c r="E54" s="113">
        <f aca="true" t="shared" si="50" ref="E54:E61">U54*$E$279/100</f>
        <v>34908.7297604138</v>
      </c>
      <c r="F54" s="112">
        <f t="shared" si="40"/>
        <v>68305.90090219709</v>
      </c>
      <c r="G54" s="112">
        <f t="shared" si="41"/>
        <v>4225.584858583988</v>
      </c>
      <c r="H54" s="112">
        <f t="shared" si="42"/>
        <v>3957.856380455917</v>
      </c>
      <c r="I54" s="112">
        <f t="shared" si="43"/>
        <v>76489.342141237</v>
      </c>
      <c r="J54" s="112">
        <f t="shared" si="44"/>
        <v>6505.794136177573</v>
      </c>
      <c r="K54" s="112">
        <f t="shared" si="45"/>
        <v>2797.79962451135</v>
      </c>
      <c r="L54" s="112">
        <f t="shared" si="46"/>
        <v>4273.003062890061</v>
      </c>
      <c r="M54" s="112">
        <f t="shared" si="47"/>
        <v>6307.766426171043</v>
      </c>
      <c r="N54" s="122">
        <v>39.2375</v>
      </c>
      <c r="O54" s="122">
        <v>242.5</v>
      </c>
      <c r="P54" s="122">
        <v>495</v>
      </c>
      <c r="Q54" s="112">
        <f t="shared" si="48"/>
        <v>14228.10045235808</v>
      </c>
      <c r="R54" s="112">
        <f t="shared" si="49"/>
        <v>97150.44289098702</v>
      </c>
      <c r="T54" s="10">
        <v>37133.421437956</v>
      </c>
      <c r="U54" s="10">
        <v>39218.7500076393</v>
      </c>
      <c r="V54" s="10">
        <v>76352.1714455953</v>
      </c>
      <c r="W54" s="10">
        <v>1508.91334119558</v>
      </c>
      <c r="X54" s="10">
        <v>21251.5474137514</v>
      </c>
      <c r="Y54" s="10">
        <v>99112.6322005423</v>
      </c>
    </row>
    <row r="55" spans="1:25" ht="14.25">
      <c r="A55" s="3"/>
      <c r="B55" s="3">
        <v>36</v>
      </c>
      <c r="C55" s="117" t="s">
        <v>241</v>
      </c>
      <c r="D55" s="113">
        <f aca="true" t="shared" si="51" ref="D55:D61">T55*$D$279/100</f>
        <v>18648.076575722134</v>
      </c>
      <c r="E55" s="113">
        <f t="shared" si="50"/>
        <v>6982.138096878993</v>
      </c>
      <c r="F55" s="112">
        <f t="shared" si="40"/>
        <v>25630.214672601127</v>
      </c>
      <c r="G55" s="112">
        <f t="shared" si="41"/>
        <v>845.1644395314303</v>
      </c>
      <c r="H55" s="112">
        <f t="shared" si="42"/>
        <v>791.6157363965134</v>
      </c>
      <c r="I55" s="112">
        <f t="shared" si="43"/>
        <v>27266.99484852907</v>
      </c>
      <c r="J55" s="112">
        <f t="shared" si="44"/>
        <v>4070.439340068613</v>
      </c>
      <c r="K55" s="112">
        <f t="shared" si="45"/>
        <v>7473.818015608957</v>
      </c>
      <c r="L55" s="112">
        <f t="shared" si="46"/>
        <v>11414.558423839135</v>
      </c>
      <c r="M55" s="112">
        <f t="shared" si="47"/>
        <v>16850.062435191103</v>
      </c>
      <c r="N55" s="122">
        <v>39.2375</v>
      </c>
      <c r="O55" s="122">
        <v>242.5</v>
      </c>
      <c r="P55" s="122">
        <v>495</v>
      </c>
      <c r="Q55" s="112">
        <f t="shared" si="48"/>
        <v>38007.80890708007</v>
      </c>
      <c r="R55" s="112">
        <f t="shared" si="49"/>
        <v>67852.61056323689</v>
      </c>
      <c r="T55" s="10">
        <v>20718.7882425707</v>
      </c>
      <c r="U55" s="10">
        <v>7844.19056263781</v>
      </c>
      <c r="V55" s="10">
        <v>28562.9788052085</v>
      </c>
      <c r="W55" s="10">
        <v>944.072329402896</v>
      </c>
      <c r="X55" s="10">
        <v>56769.6830498373</v>
      </c>
      <c r="Y55" s="10">
        <v>86276.7341844487</v>
      </c>
    </row>
    <row r="56" spans="1:25" ht="14.25">
      <c r="A56" s="3"/>
      <c r="B56" s="3">
        <v>37</v>
      </c>
      <c r="C56" s="117" t="s">
        <v>242</v>
      </c>
      <c r="D56" s="113">
        <f t="shared" si="51"/>
        <v>0</v>
      </c>
      <c r="E56" s="113">
        <f t="shared" si="50"/>
        <v>0</v>
      </c>
      <c r="F56" s="112">
        <f t="shared" si="40"/>
        <v>0</v>
      </c>
      <c r="G56" s="112">
        <f t="shared" si="41"/>
        <v>0</v>
      </c>
      <c r="H56" s="112">
        <f t="shared" si="42"/>
        <v>0</v>
      </c>
      <c r="I56" s="112">
        <f t="shared" si="43"/>
        <v>0</v>
      </c>
      <c r="J56" s="112">
        <f t="shared" si="44"/>
        <v>522.8832764606358</v>
      </c>
      <c r="K56" s="112">
        <f t="shared" si="45"/>
        <v>399.62975811919983</v>
      </c>
      <c r="L56" s="112">
        <f t="shared" si="46"/>
        <v>610.3436305820507</v>
      </c>
      <c r="M56" s="112">
        <f t="shared" si="47"/>
        <v>900.9834546687415</v>
      </c>
      <c r="N56" s="122">
        <v>39.2375</v>
      </c>
      <c r="O56" s="122">
        <v>242.5</v>
      </c>
      <c r="P56" s="122">
        <v>495</v>
      </c>
      <c r="Q56" s="112">
        <f t="shared" si="48"/>
        <v>2032.3014888046607</v>
      </c>
      <c r="R56" s="112">
        <f t="shared" si="49"/>
        <v>3210.577619830628</v>
      </c>
      <c r="T56" s="10">
        <v>0</v>
      </c>
      <c r="U56" s="10">
        <v>0</v>
      </c>
      <c r="V56" s="10">
        <v>0</v>
      </c>
      <c r="W56" s="10">
        <v>121.274288</v>
      </c>
      <c r="X56" s="10">
        <v>3035.51072</v>
      </c>
      <c r="Y56" s="10">
        <v>3156.785008</v>
      </c>
    </row>
    <row r="57" spans="1:25" ht="14.25">
      <c r="A57" s="3"/>
      <c r="B57" s="3">
        <v>38</v>
      </c>
      <c r="C57" s="117" t="s">
        <v>243</v>
      </c>
      <c r="D57" s="113">
        <f t="shared" si="51"/>
        <v>0</v>
      </c>
      <c r="E57" s="113">
        <f t="shared" si="50"/>
        <v>0</v>
      </c>
      <c r="F57" s="112">
        <f t="shared" si="40"/>
        <v>0</v>
      </c>
      <c r="G57" s="112">
        <f t="shared" si="41"/>
        <v>0</v>
      </c>
      <c r="H57" s="112">
        <f t="shared" si="42"/>
        <v>0</v>
      </c>
      <c r="I57" s="112">
        <f t="shared" si="43"/>
        <v>0</v>
      </c>
      <c r="J57" s="112">
        <f t="shared" si="44"/>
        <v>522.8832764606358</v>
      </c>
      <c r="K57" s="112">
        <f t="shared" si="45"/>
        <v>399.62975811919983</v>
      </c>
      <c r="L57" s="112">
        <f t="shared" si="46"/>
        <v>610.3436305820507</v>
      </c>
      <c r="M57" s="112">
        <f t="shared" si="47"/>
        <v>900.9834546687415</v>
      </c>
      <c r="N57" s="122">
        <v>39.2375</v>
      </c>
      <c r="O57" s="122">
        <v>242.5</v>
      </c>
      <c r="P57" s="122">
        <v>495</v>
      </c>
      <c r="Q57" s="112">
        <f t="shared" si="48"/>
        <v>2032.3014888046607</v>
      </c>
      <c r="R57" s="112">
        <f t="shared" si="49"/>
        <v>3210.577619830628</v>
      </c>
      <c r="T57" s="10">
        <v>0</v>
      </c>
      <c r="U57" s="10">
        <v>0</v>
      </c>
      <c r="V57" s="10">
        <v>0</v>
      </c>
      <c r="W57" s="10">
        <v>121.274288</v>
      </c>
      <c r="X57" s="10">
        <v>3035.51072</v>
      </c>
      <c r="Y57" s="10">
        <v>3156.785008</v>
      </c>
    </row>
    <row r="58" spans="1:25" ht="14.25">
      <c r="A58" s="3"/>
      <c r="B58" s="3">
        <v>39</v>
      </c>
      <c r="C58" s="101" t="s">
        <v>244</v>
      </c>
      <c r="D58" s="113">
        <f t="shared" si="51"/>
        <v>0</v>
      </c>
      <c r="E58" s="113">
        <f t="shared" si="50"/>
        <v>0</v>
      </c>
      <c r="F58" s="112">
        <f t="shared" si="40"/>
        <v>0</v>
      </c>
      <c r="G58" s="112">
        <f t="shared" si="41"/>
        <v>0</v>
      </c>
      <c r="H58" s="112">
        <f t="shared" si="42"/>
        <v>0</v>
      </c>
      <c r="I58" s="112">
        <f t="shared" si="43"/>
        <v>0</v>
      </c>
      <c r="J58" s="112">
        <f t="shared" si="44"/>
        <v>0</v>
      </c>
      <c r="K58" s="112">
        <f t="shared" si="45"/>
        <v>394.95471600825033</v>
      </c>
      <c r="L58" s="112">
        <f t="shared" si="46"/>
        <v>603.2035662671459</v>
      </c>
      <c r="M58" s="112">
        <f t="shared" si="47"/>
        <v>890.4433597276916</v>
      </c>
      <c r="N58" s="122">
        <v>39.2375</v>
      </c>
      <c r="O58" s="122">
        <v>242.5</v>
      </c>
      <c r="P58" s="122">
        <v>495</v>
      </c>
      <c r="Q58" s="112">
        <f t="shared" si="48"/>
        <v>2008.5267451844088</v>
      </c>
      <c r="R58" s="112">
        <f t="shared" si="49"/>
        <v>2665.3391420030875</v>
      </c>
      <c r="T58" s="10">
        <v>0</v>
      </c>
      <c r="U58" s="10">
        <v>0</v>
      </c>
      <c r="V58" s="10">
        <v>0</v>
      </c>
      <c r="W58" s="10">
        <v>0</v>
      </c>
      <c r="X58" s="10">
        <v>3000</v>
      </c>
      <c r="Y58" s="10">
        <v>3000</v>
      </c>
    </row>
    <row r="59" spans="1:25" ht="14.25">
      <c r="A59" s="3"/>
      <c r="B59" s="3">
        <v>40</v>
      </c>
      <c r="C59" s="101" t="s">
        <v>245</v>
      </c>
      <c r="D59" s="113">
        <f t="shared" si="51"/>
        <v>0</v>
      </c>
      <c r="E59" s="113">
        <f t="shared" si="50"/>
        <v>0</v>
      </c>
      <c r="F59" s="112">
        <f t="shared" si="40"/>
        <v>0</v>
      </c>
      <c r="G59" s="112">
        <f t="shared" si="41"/>
        <v>0</v>
      </c>
      <c r="H59" s="112">
        <f t="shared" si="42"/>
        <v>0</v>
      </c>
      <c r="I59" s="112">
        <f t="shared" si="43"/>
        <v>0</v>
      </c>
      <c r="J59" s="112">
        <f t="shared" si="44"/>
        <v>0</v>
      </c>
      <c r="K59" s="112">
        <f t="shared" si="45"/>
        <v>394.95471600825033</v>
      </c>
      <c r="L59" s="112">
        <f t="shared" si="46"/>
        <v>603.2035662671459</v>
      </c>
      <c r="M59" s="112">
        <f t="shared" si="47"/>
        <v>890.4433597276916</v>
      </c>
      <c r="N59" s="122">
        <v>39.2375</v>
      </c>
      <c r="O59" s="122">
        <v>242.5</v>
      </c>
      <c r="P59" s="122">
        <v>495</v>
      </c>
      <c r="Q59" s="112">
        <f t="shared" si="48"/>
        <v>2008.5267451844088</v>
      </c>
      <c r="R59" s="112">
        <f t="shared" si="49"/>
        <v>2665.3391420030875</v>
      </c>
      <c r="T59" s="10">
        <v>0</v>
      </c>
      <c r="U59" s="10">
        <v>0</v>
      </c>
      <c r="V59" s="10">
        <v>0</v>
      </c>
      <c r="W59" s="10">
        <v>0</v>
      </c>
      <c r="X59" s="10">
        <v>3000</v>
      </c>
      <c r="Y59" s="10">
        <v>3000</v>
      </c>
    </row>
    <row r="60" spans="1:25" ht="14.25">
      <c r="A60" s="3"/>
      <c r="B60" s="3">
        <v>41</v>
      </c>
      <c r="C60" s="117" t="s">
        <v>235</v>
      </c>
      <c r="D60" s="113">
        <f t="shared" si="51"/>
        <v>0</v>
      </c>
      <c r="E60" s="113">
        <f t="shared" si="50"/>
        <v>0</v>
      </c>
      <c r="F60" s="112">
        <f t="shared" si="40"/>
        <v>0</v>
      </c>
      <c r="G60" s="112">
        <f t="shared" si="41"/>
        <v>0</v>
      </c>
      <c r="H60" s="112">
        <f t="shared" si="42"/>
        <v>0</v>
      </c>
      <c r="I60" s="112">
        <f t="shared" si="43"/>
        <v>0</v>
      </c>
      <c r="J60" s="112">
        <f t="shared" si="44"/>
        <v>0</v>
      </c>
      <c r="K60" s="112">
        <f t="shared" si="45"/>
        <v>394.95471600825033</v>
      </c>
      <c r="L60" s="112">
        <f t="shared" si="46"/>
        <v>603.2035662671459</v>
      </c>
      <c r="M60" s="112">
        <f t="shared" si="47"/>
        <v>890.4433597276916</v>
      </c>
      <c r="N60" s="122">
        <v>39.2375</v>
      </c>
      <c r="O60" s="122">
        <v>242.5</v>
      </c>
      <c r="P60" s="122">
        <v>495</v>
      </c>
      <c r="Q60" s="112">
        <f t="shared" si="48"/>
        <v>2008.5267451844088</v>
      </c>
      <c r="R60" s="112">
        <f t="shared" si="49"/>
        <v>2665.3391420030875</v>
      </c>
      <c r="T60" s="10">
        <v>0</v>
      </c>
      <c r="U60" s="10">
        <v>0</v>
      </c>
      <c r="V60" s="10">
        <v>0</v>
      </c>
      <c r="W60" s="10">
        <v>0</v>
      </c>
      <c r="X60" s="10">
        <v>3000</v>
      </c>
      <c r="Y60" s="10">
        <v>3000</v>
      </c>
    </row>
    <row r="61" spans="1:25" ht="14.25">
      <c r="A61" s="3"/>
      <c r="B61" s="3">
        <v>42</v>
      </c>
      <c r="C61" s="117" t="s">
        <v>246</v>
      </c>
      <c r="D61" s="113">
        <f t="shared" si="51"/>
        <v>4993.037452363538</v>
      </c>
      <c r="E61" s="113">
        <f t="shared" si="50"/>
        <v>0</v>
      </c>
      <c r="F61" s="112">
        <f t="shared" si="40"/>
        <v>4993.037452363538</v>
      </c>
      <c r="G61" s="112">
        <f t="shared" si="41"/>
        <v>0</v>
      </c>
      <c r="H61" s="112">
        <f t="shared" si="42"/>
        <v>0</v>
      </c>
      <c r="I61" s="112">
        <f t="shared" si="43"/>
        <v>4993.037452363538</v>
      </c>
      <c r="J61" s="112">
        <f t="shared" si="44"/>
        <v>0</v>
      </c>
      <c r="K61" s="112">
        <f t="shared" si="45"/>
        <v>1689.5074719405807</v>
      </c>
      <c r="L61" s="112">
        <f t="shared" si="46"/>
        <v>2580.338684418341</v>
      </c>
      <c r="M61" s="112">
        <f t="shared" si="47"/>
        <v>3809.071391284218</v>
      </c>
      <c r="N61" s="122">
        <v>39.2375</v>
      </c>
      <c r="O61" s="122">
        <v>242.5</v>
      </c>
      <c r="P61" s="122">
        <v>495</v>
      </c>
      <c r="Q61" s="112">
        <f t="shared" si="48"/>
        <v>8591.924101776436</v>
      </c>
      <c r="R61" s="112">
        <f t="shared" si="49"/>
        <v>13848.692500006677</v>
      </c>
      <c r="T61" s="10">
        <v>5547.4721611464</v>
      </c>
      <c r="U61" s="10">
        <v>0</v>
      </c>
      <c r="V61" s="10">
        <v>5547.4721611464</v>
      </c>
      <c r="W61" s="10">
        <v>0</v>
      </c>
      <c r="X61" s="10">
        <v>12833.1735522709</v>
      </c>
      <c r="Y61" s="10">
        <v>18379.6457134173</v>
      </c>
    </row>
    <row r="62" spans="1:25" ht="14.25">
      <c r="A62" s="3">
        <v>10</v>
      </c>
      <c r="B62" s="3"/>
      <c r="C62" s="101" t="s">
        <v>78</v>
      </c>
      <c r="D62" s="112">
        <f aca="true" t="shared" si="52" ref="D62:R62">SUM(D52:D61)</f>
        <v>101284.21284815349</v>
      </c>
      <c r="E62" s="112">
        <f t="shared" si="52"/>
        <v>77919.01698382982</v>
      </c>
      <c r="F62" s="112">
        <f t="shared" si="52"/>
        <v>179203.22983198328</v>
      </c>
      <c r="G62" s="112">
        <f t="shared" si="52"/>
        <v>9431.836123008703</v>
      </c>
      <c r="H62" s="112">
        <f t="shared" si="52"/>
        <v>8834.245205851574</v>
      </c>
      <c r="I62" s="112">
        <f t="shared" si="52"/>
        <v>197469.3111608436</v>
      </c>
      <c r="J62" s="112">
        <f t="shared" si="52"/>
        <v>269429.92536004813</v>
      </c>
      <c r="K62" s="112">
        <f t="shared" si="52"/>
        <v>28603.62590213894</v>
      </c>
      <c r="L62" s="112">
        <f t="shared" si="52"/>
        <v>43685.537741448556</v>
      </c>
      <c r="M62" s="112">
        <f t="shared" si="52"/>
        <v>64488.17476118599</v>
      </c>
      <c r="N62" s="112">
        <f t="shared" si="52"/>
        <v>392.37500000000006</v>
      </c>
      <c r="O62" s="112">
        <f t="shared" si="52"/>
        <v>2425</v>
      </c>
      <c r="P62" s="112">
        <f t="shared" si="52"/>
        <v>4950</v>
      </c>
      <c r="Q62" s="112">
        <f t="shared" si="52"/>
        <v>145462.6196500347</v>
      </c>
      <c r="R62" s="112">
        <f t="shared" si="52"/>
        <v>611443.9499256652</v>
      </c>
      <c r="T62" s="10">
        <v>112618.85400199</v>
      </c>
      <c r="U62" s="10">
        <v>87435.9606859823</v>
      </c>
      <c r="V62" s="10">
        <v>200054.814687972</v>
      </c>
      <c r="W62" s="10">
        <v>62489.8975257107</v>
      </c>
      <c r="X62" s="10">
        <v>217268.636588049</v>
      </c>
      <c r="Y62" s="10">
        <v>479814.348801732</v>
      </c>
    </row>
    <row r="63" spans="1:25" ht="14.25">
      <c r="A63" s="3"/>
      <c r="B63" s="3"/>
      <c r="C63" s="101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T63" s="10"/>
      <c r="U63" s="10"/>
      <c r="V63" s="10"/>
      <c r="W63" s="10"/>
      <c r="X63" s="10"/>
      <c r="Y63" s="10"/>
    </row>
    <row r="64" spans="1:25" ht="14.25">
      <c r="A64" s="3"/>
      <c r="B64" s="19" t="s">
        <v>54</v>
      </c>
      <c r="C64" s="101" t="s">
        <v>55</v>
      </c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T64" s="10"/>
      <c r="U64" s="10"/>
      <c r="V64" s="10"/>
      <c r="W64" s="10"/>
      <c r="X64" s="10"/>
      <c r="Y64" s="10"/>
    </row>
    <row r="65" spans="1:25" ht="14.25">
      <c r="A65" s="3"/>
      <c r="B65" s="3" t="s">
        <v>56</v>
      </c>
      <c r="C65" s="101" t="s">
        <v>57</v>
      </c>
      <c r="D65" s="113">
        <f>T65*$D$279/100</f>
        <v>0</v>
      </c>
      <c r="E65" s="113">
        <f>U65*$E$279/100</f>
        <v>0</v>
      </c>
      <c r="F65" s="112">
        <f>D65+E65</f>
        <v>0</v>
      </c>
      <c r="G65" s="112">
        <f>E65*$G$279/100</f>
        <v>0</v>
      </c>
      <c r="H65" s="112">
        <f>F65*$H$279/100</f>
        <v>0</v>
      </c>
      <c r="I65" s="112">
        <f>SUM(F65:H65)</f>
        <v>0</v>
      </c>
      <c r="J65" s="112"/>
      <c r="K65" s="112"/>
      <c r="L65" s="112"/>
      <c r="M65" s="112"/>
      <c r="N65" s="112"/>
      <c r="O65" s="112"/>
      <c r="P65" s="112"/>
      <c r="Q65" s="112"/>
      <c r="R65" s="112"/>
      <c r="T65" s="10"/>
      <c r="U65" s="10"/>
      <c r="V65" s="10"/>
      <c r="W65" s="10"/>
      <c r="X65" s="10"/>
      <c r="Y65" s="10"/>
    </row>
    <row r="66" spans="1:25" ht="14.25">
      <c r="A66" s="3"/>
      <c r="B66" s="3"/>
      <c r="C66" s="101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T66" s="10"/>
      <c r="U66" s="10"/>
      <c r="V66" s="10"/>
      <c r="W66" s="10"/>
      <c r="X66" s="10"/>
      <c r="Y66" s="10"/>
    </row>
    <row r="67" spans="1:25" ht="14.25">
      <c r="A67" s="3"/>
      <c r="B67" s="3"/>
      <c r="C67" s="101" t="s">
        <v>104</v>
      </c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T67" s="10"/>
      <c r="U67" s="10"/>
      <c r="V67" s="10"/>
      <c r="W67" s="10"/>
      <c r="X67" s="10"/>
      <c r="Y67" s="10"/>
    </row>
    <row r="68" spans="1:25" ht="14.25">
      <c r="A68" s="3"/>
      <c r="B68" s="3">
        <v>43</v>
      </c>
      <c r="C68" s="117" t="s">
        <v>247</v>
      </c>
      <c r="D68" s="113">
        <f>T68*$D$279/100</f>
        <v>9324.038287861113</v>
      </c>
      <c r="E68" s="113">
        <f>U68*$E$279/100</f>
        <v>594.099366288776</v>
      </c>
      <c r="F68" s="112">
        <f>D68+E68</f>
        <v>9918.137654149888</v>
      </c>
      <c r="G68" s="112">
        <f>E68*$G$279/100</f>
        <v>71.91373916821762</v>
      </c>
      <c r="H68" s="112">
        <f>E68*$H$279/100</f>
        <v>67.35736257459791</v>
      </c>
      <c r="I68" s="112">
        <f>SUM(F68:H68)</f>
        <v>10057.408755892704</v>
      </c>
      <c r="J68" s="112">
        <f>W68*$J$279/100</f>
        <v>321242.2968285836</v>
      </c>
      <c r="K68" s="112">
        <f>Q68*$K$279/100</f>
        <v>3626.24657940682</v>
      </c>
      <c r="L68" s="112">
        <f>Q68*$L$279/100</f>
        <v>5538.267503094052</v>
      </c>
      <c r="M68" s="112">
        <f>Q68*$M$279/100</f>
        <v>8175.537742662648</v>
      </c>
      <c r="N68" s="122">
        <v>39.2375</v>
      </c>
      <c r="O68" s="122">
        <v>242.5</v>
      </c>
      <c r="P68" s="122">
        <v>495</v>
      </c>
      <c r="Q68" s="112">
        <f>X68*$Q$279/100</f>
        <v>18441.135006525485</v>
      </c>
      <c r="R68" s="112">
        <f>I68+J68+K68+L68+M68+N68+O68+P68</f>
        <v>349416.4949096398</v>
      </c>
      <c r="T68" s="10">
        <v>10359.3941212854</v>
      </c>
      <c r="U68" s="10">
        <v>667.450081572382</v>
      </c>
      <c r="V68" s="10">
        <v>11025.8442028577</v>
      </c>
      <c r="W68" s="10">
        <v>74506.9360165395</v>
      </c>
      <c r="X68" s="10">
        <v>27544.2710196508</v>
      </c>
      <c r="Y68" s="10">
        <v>113077.051239048</v>
      </c>
    </row>
    <row r="69" spans="1:25" ht="14.25">
      <c r="A69" s="3"/>
      <c r="B69" s="3">
        <v>44</v>
      </c>
      <c r="C69" s="117" t="s">
        <v>248</v>
      </c>
      <c r="D69" s="113">
        <f>T69*$D$279/100</f>
        <v>0</v>
      </c>
      <c r="E69" s="113">
        <f>U69*$E$279/100</f>
        <v>0</v>
      </c>
      <c r="F69" s="112">
        <f>D69+E69</f>
        <v>0</v>
      </c>
      <c r="G69" s="112">
        <f>E69*$G$279/100</f>
        <v>0</v>
      </c>
      <c r="H69" s="112">
        <f>E69*$H$279/100</f>
        <v>0</v>
      </c>
      <c r="I69" s="112">
        <f>SUM(F69:H69)</f>
        <v>0</v>
      </c>
      <c r="J69" s="112">
        <f>W69*$J$279/100</f>
        <v>1416.30562610591</v>
      </c>
      <c r="K69" s="112">
        <f>Q69*$K$279/100</f>
        <v>1911.4752652328475</v>
      </c>
      <c r="L69" s="112">
        <f>Q69*$L$279/100</f>
        <v>2919.344041446531</v>
      </c>
      <c r="M69" s="112">
        <f>Q69*$M$279/100</f>
        <v>4309.507870706783</v>
      </c>
      <c r="N69" s="122">
        <v>39.2375</v>
      </c>
      <c r="O69" s="122">
        <v>242.5</v>
      </c>
      <c r="P69" s="122">
        <v>495</v>
      </c>
      <c r="Q69" s="112">
        <f>X69*$Q$279/100</f>
        <v>9720.732624188837</v>
      </c>
      <c r="R69" s="112">
        <f>I69+J69+K69+L69+M69+N69+O69+P69</f>
        <v>11333.37030349207</v>
      </c>
      <c r="T69" s="10">
        <v>0</v>
      </c>
      <c r="U69" s="10">
        <v>0</v>
      </c>
      <c r="V69" s="10">
        <v>0</v>
      </c>
      <c r="W69" s="10">
        <v>328.489099056736</v>
      </c>
      <c r="X69" s="10">
        <v>14519.1981846819</v>
      </c>
      <c r="Y69" s="10">
        <v>14846.6872837386</v>
      </c>
    </row>
    <row r="70" spans="1:25" ht="14.25">
      <c r="A70" s="3"/>
      <c r="B70" s="3">
        <v>45</v>
      </c>
      <c r="C70" s="117" t="s">
        <v>249</v>
      </c>
      <c r="D70" s="113">
        <f>T70*$D$279/100</f>
        <v>0</v>
      </c>
      <c r="E70" s="113">
        <f>U70*$E$279/100</f>
        <v>0</v>
      </c>
      <c r="F70" s="112">
        <f>D70+E70</f>
        <v>0</v>
      </c>
      <c r="G70" s="112">
        <f>E70*$G$279/100</f>
        <v>0</v>
      </c>
      <c r="H70" s="112">
        <f>E70*$H$279/100</f>
        <v>0</v>
      </c>
      <c r="I70" s="112">
        <f>SUM(F70:H70)</f>
        <v>0</v>
      </c>
      <c r="J70" s="112">
        <f>W70*$J$279/100</f>
        <v>522.8832764606358</v>
      </c>
      <c r="K70" s="112">
        <f>Q70*$K$279/100</f>
        <v>399.62975811919983</v>
      </c>
      <c r="L70" s="112">
        <f>Q70*$L$279/100</f>
        <v>610.3436305820507</v>
      </c>
      <c r="M70" s="112">
        <f>Q70*$M$279/100</f>
        <v>900.9834546687415</v>
      </c>
      <c r="N70" s="122">
        <v>39.2375</v>
      </c>
      <c r="O70" s="122">
        <v>242.5</v>
      </c>
      <c r="P70" s="122">
        <v>495</v>
      </c>
      <c r="Q70" s="112">
        <f>X70*$Q$279/100</f>
        <v>2032.3014888046607</v>
      </c>
      <c r="R70" s="112">
        <f>I70+J70+K70+L70+M70+N70+O70+P70</f>
        <v>3210.577619830628</v>
      </c>
      <c r="T70" s="10">
        <v>0</v>
      </c>
      <c r="U70" s="10">
        <v>0</v>
      </c>
      <c r="V70" s="10">
        <v>0</v>
      </c>
      <c r="W70" s="10">
        <v>121.274288</v>
      </c>
      <c r="X70" s="10">
        <v>3035.51072</v>
      </c>
      <c r="Y70" s="10">
        <v>3156.785008</v>
      </c>
    </row>
    <row r="71" spans="1:25" ht="14.25">
      <c r="A71" s="3"/>
      <c r="B71" s="3">
        <v>46</v>
      </c>
      <c r="C71" s="117" t="s">
        <v>250</v>
      </c>
      <c r="D71" s="113">
        <f>T71*$D$279/100</f>
        <v>0</v>
      </c>
      <c r="E71" s="113">
        <f>U71*$E$279/100</f>
        <v>0</v>
      </c>
      <c r="F71" s="112">
        <f>D71+E71</f>
        <v>0</v>
      </c>
      <c r="G71" s="112">
        <f>E71*$G$279/100</f>
        <v>0</v>
      </c>
      <c r="H71" s="112">
        <f>E71*$H$279/100</f>
        <v>0</v>
      </c>
      <c r="I71" s="112">
        <f>SUM(F71:H71)</f>
        <v>0</v>
      </c>
      <c r="J71" s="112">
        <f>W71*$J$279/100</f>
        <v>0</v>
      </c>
      <c r="K71" s="112">
        <f>Q71*$K$279/100</f>
        <v>499.5371976489997</v>
      </c>
      <c r="L71" s="112">
        <f>Q71*$L$279/100</f>
        <v>762.9295382275632</v>
      </c>
      <c r="M71" s="112">
        <f>Q71*$M$279/100</f>
        <v>1126.2293183359266</v>
      </c>
      <c r="N71" s="122">
        <v>39.2375</v>
      </c>
      <c r="O71" s="122">
        <v>242.5</v>
      </c>
      <c r="P71" s="122">
        <v>495</v>
      </c>
      <c r="Q71" s="112">
        <f>X71*$Q$279/100</f>
        <v>2540.3768610058255</v>
      </c>
      <c r="R71" s="112">
        <f>I71+J71+K71+L71+M71+N71+O71+P71</f>
        <v>3165.4335542124895</v>
      </c>
      <c r="T71" s="10">
        <v>0</v>
      </c>
      <c r="U71" s="10">
        <v>0</v>
      </c>
      <c r="V71" s="10">
        <v>0</v>
      </c>
      <c r="W71" s="10">
        <v>0</v>
      </c>
      <c r="X71" s="10">
        <v>3794.3884</v>
      </c>
      <c r="Y71" s="10">
        <v>3794.3884</v>
      </c>
    </row>
    <row r="72" spans="1:25" ht="14.25">
      <c r="A72" s="3"/>
      <c r="B72" s="3">
        <v>47</v>
      </c>
      <c r="C72" s="117" t="s">
        <v>251</v>
      </c>
      <c r="D72" s="113">
        <f>T72*$D$279/100</f>
        <v>9324.038287861113</v>
      </c>
      <c r="E72" s="113">
        <f>U72*$E$279/100</f>
        <v>327.4409048522301</v>
      </c>
      <c r="F72" s="112">
        <f>D72+E72</f>
        <v>9651.479192713343</v>
      </c>
      <c r="G72" s="112">
        <f>E72*$G$279/100</f>
        <v>39.6356252181266</v>
      </c>
      <c r="H72" s="112">
        <f>E72*$H$279/100</f>
        <v>37.12435495035599</v>
      </c>
      <c r="I72" s="112">
        <f>SUM(F72:H72)</f>
        <v>9728.239172881826</v>
      </c>
      <c r="J72" s="112">
        <f>W72*$J$279/100</f>
        <v>17018.696873045017</v>
      </c>
      <c r="K72" s="112">
        <f>Q72*$K$279/100</f>
        <v>197.47735800412516</v>
      </c>
      <c r="L72" s="112">
        <f>Q72*$L$279/100</f>
        <v>301.60178313357295</v>
      </c>
      <c r="M72" s="112">
        <f>Q72*$M$279/100</f>
        <v>445.2216798638458</v>
      </c>
      <c r="N72" s="122">
        <v>39.2375</v>
      </c>
      <c r="O72" s="122">
        <v>242.5</v>
      </c>
      <c r="P72" s="122">
        <v>495</v>
      </c>
      <c r="Q72" s="112">
        <f>X72*$Q$279/100</f>
        <v>1004.2633725922044</v>
      </c>
      <c r="R72" s="112">
        <f>I72+J72+K72+L72+M72+N72+O72+P72</f>
        <v>28467.97436692839</v>
      </c>
      <c r="T72" s="10">
        <v>10359.3941212854</v>
      </c>
      <c r="U72" s="10">
        <v>367.868526807221</v>
      </c>
      <c r="V72" s="10">
        <v>10727.2626480926</v>
      </c>
      <c r="W72" s="10">
        <v>3947.21047484436</v>
      </c>
      <c r="X72" s="10">
        <v>1500</v>
      </c>
      <c r="Y72" s="10">
        <v>16174.4731229369</v>
      </c>
    </row>
    <row r="73" spans="1:25" ht="14.25">
      <c r="A73" s="3">
        <v>5</v>
      </c>
      <c r="B73" s="3"/>
      <c r="C73" s="101" t="s">
        <v>78</v>
      </c>
      <c r="D73" s="112">
        <f aca="true" t="shared" si="53" ref="D73:R73">SUM(D68:D72)</f>
        <v>18648.076575722225</v>
      </c>
      <c r="E73" s="112">
        <f t="shared" si="53"/>
        <v>921.5402711410061</v>
      </c>
      <c r="F73" s="112">
        <f t="shared" si="53"/>
        <v>19569.61684686323</v>
      </c>
      <c r="G73" s="112">
        <f t="shared" si="53"/>
        <v>111.54936438634422</v>
      </c>
      <c r="H73" s="112">
        <f t="shared" si="53"/>
        <v>104.48171752495391</v>
      </c>
      <c r="I73" s="112">
        <f t="shared" si="53"/>
        <v>19785.64792877453</v>
      </c>
      <c r="J73" s="112">
        <f t="shared" si="53"/>
        <v>340200.18260419514</v>
      </c>
      <c r="K73" s="112">
        <f t="shared" si="53"/>
        <v>6634.366158411992</v>
      </c>
      <c r="L73" s="112">
        <f t="shared" si="53"/>
        <v>10132.486496483769</v>
      </c>
      <c r="M73" s="112">
        <f t="shared" si="53"/>
        <v>14957.480066237946</v>
      </c>
      <c r="N73" s="112">
        <f t="shared" si="53"/>
        <v>196.1875</v>
      </c>
      <c r="O73" s="112">
        <f t="shared" si="53"/>
        <v>1212.5</v>
      </c>
      <c r="P73" s="112">
        <f t="shared" si="53"/>
        <v>2475</v>
      </c>
      <c r="Q73" s="112">
        <f t="shared" si="53"/>
        <v>33738.80935311701</v>
      </c>
      <c r="R73" s="112">
        <f t="shared" si="53"/>
        <v>395593.8507541034</v>
      </c>
      <c r="T73" s="10">
        <v>20717.7882425707</v>
      </c>
      <c r="U73" s="10">
        <v>1035.3186083796</v>
      </c>
      <c r="V73" s="10">
        <v>21753.1068509503</v>
      </c>
      <c r="W73" s="10">
        <v>78902.9098784405</v>
      </c>
      <c r="X73" s="10">
        <v>50393.3683243327</v>
      </c>
      <c r="Y73" s="10">
        <v>151049.385053724</v>
      </c>
    </row>
    <row r="74" spans="1:25" ht="14.25">
      <c r="A74" s="3"/>
      <c r="B74" s="3"/>
      <c r="C74" s="101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T74" s="10"/>
      <c r="U74" s="10"/>
      <c r="V74" s="10"/>
      <c r="W74" s="10"/>
      <c r="X74" s="10"/>
      <c r="Y74" s="10"/>
    </row>
    <row r="75" spans="1:25" ht="14.25">
      <c r="A75" s="3"/>
      <c r="B75" s="3"/>
      <c r="C75" s="101" t="s">
        <v>108</v>
      </c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T75" s="10"/>
      <c r="U75" s="10"/>
      <c r="V75" s="10"/>
      <c r="W75" s="10"/>
      <c r="X75" s="10"/>
      <c r="Y75" s="10"/>
    </row>
    <row r="76" spans="1:25" ht="14.25">
      <c r="A76" s="3"/>
      <c r="B76" s="3">
        <v>48</v>
      </c>
      <c r="C76" s="117" t="s">
        <v>252</v>
      </c>
      <c r="D76" s="113">
        <f aca="true" t="shared" si="54" ref="D76:D89">T76*$D$279/100</f>
        <v>0</v>
      </c>
      <c r="E76" s="113">
        <f aca="true" t="shared" si="55" ref="E76:E89">U76*$E$279/100</f>
        <v>984.2834385378443</v>
      </c>
      <c r="F76" s="112">
        <f aca="true" t="shared" si="56" ref="F76:F89">D76+E76</f>
        <v>984.2834385378443</v>
      </c>
      <c r="G76" s="112">
        <f aca="true" t="shared" si="57" ref="G76:G89">E76*$G$279/100</f>
        <v>119.14421472754256</v>
      </c>
      <c r="H76" s="112">
        <f aca="true" t="shared" si="58" ref="H76:H89">E76*$H$279/100</f>
        <v>111.59536637771714</v>
      </c>
      <c r="I76" s="112">
        <f aca="true" t="shared" si="59" ref="I76:I89">SUM(F76:H76)</f>
        <v>1215.023019643104</v>
      </c>
      <c r="J76" s="112">
        <f aca="true" t="shared" si="60" ref="J76:J89">W76*$J$279/100</f>
        <v>128308.07798128595</v>
      </c>
      <c r="K76" s="112">
        <f aca="true" t="shared" si="61" ref="K76:K89">Q76*$K$279/100</f>
        <v>17239.240810050593</v>
      </c>
      <c r="L76" s="112">
        <f aca="true" t="shared" si="62" ref="L76:L89">Q76*$L$279/100</f>
        <v>26329.02232807727</v>
      </c>
      <c r="M76" s="112">
        <f aca="true" t="shared" si="63" ref="M76:M89">Q76*$M$279/100</f>
        <v>38866.65200811406</v>
      </c>
      <c r="N76" s="122">
        <v>39.2375</v>
      </c>
      <c r="O76" s="122">
        <v>243</v>
      </c>
      <c r="P76" s="122">
        <v>495</v>
      </c>
      <c r="Q76" s="112">
        <f aca="true" t="shared" si="64" ref="Q76:Q89">X76*$Q$279/100</f>
        <v>87669.48419711452</v>
      </c>
      <c r="R76" s="112">
        <f aca="true" t="shared" si="65" ref="R76:R89">I76+J76+K76+L76+M76+N76+O76+P76</f>
        <v>212735.25364717096</v>
      </c>
      <c r="T76" s="10">
        <v>0</v>
      </c>
      <c r="U76" s="10">
        <v>1105.80838597141</v>
      </c>
      <c r="V76" s="10">
        <v>1105.80838597141</v>
      </c>
      <c r="W76" s="10">
        <v>29758.9758600749</v>
      </c>
      <c r="X76" s="10">
        <v>130945.954900489</v>
      </c>
      <c r="Y76" s="10">
        <v>161810.739146535</v>
      </c>
    </row>
    <row r="77" spans="1:25" ht="14.25">
      <c r="A77" s="3"/>
      <c r="B77" s="3">
        <v>49</v>
      </c>
      <c r="C77" s="101" t="s">
        <v>253</v>
      </c>
      <c r="D77" s="113">
        <f t="shared" si="54"/>
        <v>0</v>
      </c>
      <c r="E77" s="113">
        <f t="shared" si="55"/>
        <v>0</v>
      </c>
      <c r="F77" s="112">
        <f t="shared" si="56"/>
        <v>0</v>
      </c>
      <c r="G77" s="112">
        <f t="shared" si="57"/>
        <v>0</v>
      </c>
      <c r="H77" s="112">
        <f t="shared" si="58"/>
        <v>0</v>
      </c>
      <c r="I77" s="112">
        <f t="shared" si="59"/>
        <v>0</v>
      </c>
      <c r="J77" s="112">
        <f t="shared" si="60"/>
        <v>20329.167340569</v>
      </c>
      <c r="K77" s="112">
        <f t="shared" si="61"/>
        <v>8690.773843990059</v>
      </c>
      <c r="L77" s="112">
        <f t="shared" si="62"/>
        <v>13273.18187082118</v>
      </c>
      <c r="M77" s="112">
        <f t="shared" si="63"/>
        <v>19593.74466645031</v>
      </c>
      <c r="N77" s="122">
        <v>39.2375</v>
      </c>
      <c r="O77" s="122">
        <v>243</v>
      </c>
      <c r="P77" s="122">
        <v>495</v>
      </c>
      <c r="Q77" s="112">
        <f t="shared" si="64"/>
        <v>44196.59012664761</v>
      </c>
      <c r="R77" s="112">
        <f t="shared" si="65"/>
        <v>62664.105221830556</v>
      </c>
      <c r="T77" s="10">
        <v>0</v>
      </c>
      <c r="U77" s="10">
        <v>0</v>
      </c>
      <c r="V77" s="10">
        <v>0</v>
      </c>
      <c r="W77" s="10">
        <v>4715.02036085096</v>
      </c>
      <c r="X77" s="10">
        <v>66013.4452766619</v>
      </c>
      <c r="Y77" s="10">
        <v>70728.4656375129</v>
      </c>
    </row>
    <row r="78" spans="1:25" ht="14.25">
      <c r="A78" s="3"/>
      <c r="B78" s="3">
        <v>50</v>
      </c>
      <c r="C78" s="117" t="s">
        <v>254</v>
      </c>
      <c r="D78" s="113">
        <f t="shared" si="54"/>
        <v>0</v>
      </c>
      <c r="E78" s="113">
        <f t="shared" si="55"/>
        <v>656.8425336856116</v>
      </c>
      <c r="F78" s="112">
        <f t="shared" si="56"/>
        <v>656.8425336856116</v>
      </c>
      <c r="G78" s="112">
        <f t="shared" si="57"/>
        <v>79.50858950941566</v>
      </c>
      <c r="H78" s="112">
        <f t="shared" si="58"/>
        <v>74.47101142736086</v>
      </c>
      <c r="I78" s="112">
        <f t="shared" si="59"/>
        <v>810.8221346223881</v>
      </c>
      <c r="J78" s="112">
        <f t="shared" si="60"/>
        <v>2032.3410000625486</v>
      </c>
      <c r="K78" s="112">
        <f t="shared" si="61"/>
        <v>2173.273516206462</v>
      </c>
      <c r="L78" s="112">
        <f t="shared" si="62"/>
        <v>3319.1813702062327</v>
      </c>
      <c r="M78" s="112">
        <f t="shared" si="63"/>
        <v>4899.743927447295</v>
      </c>
      <c r="N78" s="122">
        <v>39.2375</v>
      </c>
      <c r="O78" s="122">
        <v>243</v>
      </c>
      <c r="P78" s="122">
        <v>495</v>
      </c>
      <c r="Q78" s="112">
        <f t="shared" si="64"/>
        <v>11052.097379716963</v>
      </c>
      <c r="R78" s="112">
        <f t="shared" si="65"/>
        <v>14012.599448544926</v>
      </c>
      <c r="T78" s="10">
        <v>0</v>
      </c>
      <c r="U78" s="10">
        <v>737.939859164186</v>
      </c>
      <c r="V78" s="10">
        <v>737.939859164186</v>
      </c>
      <c r="W78" s="10">
        <v>471.368503931008</v>
      </c>
      <c r="X78" s="10">
        <v>16507.7673068808</v>
      </c>
      <c r="Y78" s="10">
        <v>17717.075669976</v>
      </c>
    </row>
    <row r="79" spans="1:25" ht="14.25">
      <c r="A79" s="3"/>
      <c r="B79" s="3">
        <v>51</v>
      </c>
      <c r="C79" s="117" t="s">
        <v>255</v>
      </c>
      <c r="D79" s="113">
        <f t="shared" si="54"/>
        <v>239.18742286771464</v>
      </c>
      <c r="E79" s="113">
        <f t="shared" si="55"/>
        <v>3278.3304964846056</v>
      </c>
      <c r="F79" s="112">
        <f t="shared" si="56"/>
        <v>3517.5179193523204</v>
      </c>
      <c r="G79" s="112">
        <f t="shared" si="57"/>
        <v>396.83093032759115</v>
      </c>
      <c r="H79" s="112">
        <f t="shared" si="58"/>
        <v>371.6881525568579</v>
      </c>
      <c r="I79" s="112">
        <f t="shared" si="59"/>
        <v>4286.03700223677</v>
      </c>
      <c r="J79" s="112">
        <f t="shared" si="60"/>
        <v>20329.167340569</v>
      </c>
      <c r="K79" s="112">
        <f t="shared" si="61"/>
        <v>8690.773843990059</v>
      </c>
      <c r="L79" s="112">
        <f t="shared" si="62"/>
        <v>13273.18187082118</v>
      </c>
      <c r="M79" s="112">
        <f t="shared" si="63"/>
        <v>19593.74466645031</v>
      </c>
      <c r="N79" s="122">
        <v>39.2375</v>
      </c>
      <c r="O79" s="122">
        <v>243</v>
      </c>
      <c r="P79" s="122">
        <v>495</v>
      </c>
      <c r="Q79" s="112">
        <f t="shared" si="64"/>
        <v>44196.59012664761</v>
      </c>
      <c r="R79" s="112">
        <f t="shared" si="65"/>
        <v>66950.14222406733</v>
      </c>
      <c r="T79" s="10">
        <v>265.747169396235</v>
      </c>
      <c r="U79" s="10">
        <v>3683.0908791717</v>
      </c>
      <c r="V79" s="10">
        <v>3948.83804856793</v>
      </c>
      <c r="W79" s="10">
        <v>4715.02036085096</v>
      </c>
      <c r="X79" s="10">
        <v>66013.4452766619</v>
      </c>
      <c r="Y79" s="10">
        <v>74677.3036860808</v>
      </c>
    </row>
    <row r="80" spans="1:25" ht="14.25">
      <c r="A80" s="3"/>
      <c r="B80" s="3">
        <v>52</v>
      </c>
      <c r="C80" s="117" t="s">
        <v>256</v>
      </c>
      <c r="D80" s="113">
        <f t="shared" si="54"/>
        <v>0</v>
      </c>
      <c r="E80" s="113">
        <f t="shared" si="55"/>
        <v>3039.1221707841723</v>
      </c>
      <c r="F80" s="112">
        <f t="shared" si="56"/>
        <v>3039.1221707841723</v>
      </c>
      <c r="G80" s="112">
        <f t="shared" si="57"/>
        <v>367.8755634017739</v>
      </c>
      <c r="H80" s="112">
        <f t="shared" si="58"/>
        <v>344.56736630569947</v>
      </c>
      <c r="I80" s="112">
        <f t="shared" si="59"/>
        <v>3751.565100491646</v>
      </c>
      <c r="J80" s="112">
        <f t="shared" si="60"/>
        <v>22165.75878255186</v>
      </c>
      <c r="K80" s="112">
        <f t="shared" si="61"/>
        <v>5510.5244850430845</v>
      </c>
      <c r="L80" s="112">
        <f t="shared" si="62"/>
        <v>8416.073758974893</v>
      </c>
      <c r="M80" s="112">
        <f t="shared" si="63"/>
        <v>12423.727929915318</v>
      </c>
      <c r="N80" s="122">
        <v>39.2375</v>
      </c>
      <c r="O80" s="122">
        <v>243</v>
      </c>
      <c r="P80" s="122">
        <v>495</v>
      </c>
      <c r="Q80" s="112">
        <f t="shared" si="64"/>
        <v>28023.556523303738</v>
      </c>
      <c r="R80" s="112">
        <f t="shared" si="65"/>
        <v>53044.8875569768</v>
      </c>
      <c r="T80" s="10">
        <v>0</v>
      </c>
      <c r="U80" s="10">
        <v>3414.34860210295</v>
      </c>
      <c r="V80" s="10">
        <v>3414.34860210295</v>
      </c>
      <c r="W80" s="10">
        <v>5140.98793239201</v>
      </c>
      <c r="X80" s="10">
        <v>41856.8832959167</v>
      </c>
      <c r="Y80" s="10">
        <v>50412.2198304116</v>
      </c>
    </row>
    <row r="81" spans="1:25" ht="14.25">
      <c r="A81" s="3"/>
      <c r="B81" s="3">
        <v>53</v>
      </c>
      <c r="C81" s="117" t="s">
        <v>257</v>
      </c>
      <c r="D81" s="113">
        <f t="shared" si="54"/>
        <v>0</v>
      </c>
      <c r="E81" s="113">
        <f t="shared" si="55"/>
        <v>656.8425336856116</v>
      </c>
      <c r="F81" s="112">
        <f t="shared" si="56"/>
        <v>656.8425336856116</v>
      </c>
      <c r="G81" s="112">
        <f t="shared" si="57"/>
        <v>79.50858950941566</v>
      </c>
      <c r="H81" s="112">
        <f t="shared" si="58"/>
        <v>74.47101142736086</v>
      </c>
      <c r="I81" s="112">
        <f t="shared" si="59"/>
        <v>810.8221346223881</v>
      </c>
      <c r="J81" s="112">
        <f t="shared" si="60"/>
        <v>40658.334681138</v>
      </c>
      <c r="K81" s="112">
        <f t="shared" si="61"/>
        <v>6518.660438201496</v>
      </c>
      <c r="L81" s="112">
        <f t="shared" si="62"/>
        <v>9955.772305616829</v>
      </c>
      <c r="M81" s="112">
        <f t="shared" si="63"/>
        <v>14696.616260672463</v>
      </c>
      <c r="N81" s="122">
        <v>39.2375</v>
      </c>
      <c r="O81" s="122">
        <v>243</v>
      </c>
      <c r="P81" s="122">
        <v>495</v>
      </c>
      <c r="Q81" s="112">
        <f t="shared" si="64"/>
        <v>33150.39244304079</v>
      </c>
      <c r="R81" s="112">
        <f t="shared" si="65"/>
        <v>73417.44332025119</v>
      </c>
      <c r="T81" s="10">
        <v>0</v>
      </c>
      <c r="U81" s="10">
        <v>737.939859164186</v>
      </c>
      <c r="V81" s="10">
        <v>737.939859164186</v>
      </c>
      <c r="W81" s="10">
        <v>9430.04072170192</v>
      </c>
      <c r="X81" s="10">
        <v>49514.4899452118</v>
      </c>
      <c r="Y81" s="10">
        <v>59682.4705260779</v>
      </c>
    </row>
    <row r="82" spans="1:25" ht="14.25">
      <c r="A82" s="3"/>
      <c r="B82" s="3">
        <v>54</v>
      </c>
      <c r="C82" s="117" t="s">
        <v>258</v>
      </c>
      <c r="D82" s="113">
        <f t="shared" si="54"/>
        <v>0</v>
      </c>
      <c r="E82" s="113">
        <f t="shared" si="55"/>
        <v>1552.8933930716632</v>
      </c>
      <c r="F82" s="112">
        <f t="shared" si="56"/>
        <v>1552.8933930716632</v>
      </c>
      <c r="G82" s="112">
        <f t="shared" si="57"/>
        <v>187.9725459446494</v>
      </c>
      <c r="H82" s="112">
        <f t="shared" si="58"/>
        <v>176.06280910588094</v>
      </c>
      <c r="I82" s="112">
        <f t="shared" si="59"/>
        <v>1916.9287481221936</v>
      </c>
      <c r="J82" s="112">
        <f t="shared" si="60"/>
        <v>14335.776459364739</v>
      </c>
      <c r="K82" s="112">
        <f t="shared" si="61"/>
        <v>4397.205187328059</v>
      </c>
      <c r="L82" s="112">
        <f t="shared" si="62"/>
        <v>6715.731558828308</v>
      </c>
      <c r="M82" s="112">
        <f t="shared" si="63"/>
        <v>9913.69896779417</v>
      </c>
      <c r="N82" s="122">
        <v>39.2375</v>
      </c>
      <c r="O82" s="122">
        <v>243</v>
      </c>
      <c r="P82" s="122">
        <v>495</v>
      </c>
      <c r="Q82" s="112">
        <f t="shared" si="64"/>
        <v>22361.81482291133</v>
      </c>
      <c r="R82" s="112">
        <f t="shared" si="65"/>
        <v>38056.57842143747</v>
      </c>
      <c r="T82" s="10">
        <v>0</v>
      </c>
      <c r="U82" s="10">
        <v>1744.62199539713</v>
      </c>
      <c r="V82" s="10">
        <v>1744.62199539713</v>
      </c>
      <c r="W82" s="10">
        <v>3324.9506367938</v>
      </c>
      <c r="X82" s="10">
        <v>33400.3242075697</v>
      </c>
      <c r="Y82" s="10">
        <v>38469.8968397606</v>
      </c>
    </row>
    <row r="83" spans="1:25" ht="14.25">
      <c r="A83" s="3"/>
      <c r="B83" s="3">
        <v>55</v>
      </c>
      <c r="C83" s="117" t="s">
        <v>259</v>
      </c>
      <c r="D83" s="113">
        <f t="shared" si="54"/>
        <v>448.47641787696443</v>
      </c>
      <c r="E83" s="113">
        <f t="shared" si="55"/>
        <v>1472.5037098444666</v>
      </c>
      <c r="F83" s="112">
        <f t="shared" si="56"/>
        <v>1920.980127721431</v>
      </c>
      <c r="G83" s="112">
        <f t="shared" si="57"/>
        <v>178.24164394498928</v>
      </c>
      <c r="H83" s="112">
        <f t="shared" si="58"/>
        <v>166.94844651327833</v>
      </c>
      <c r="I83" s="112">
        <f t="shared" si="59"/>
        <v>2266.1702181796986</v>
      </c>
      <c r="J83" s="112">
        <f t="shared" si="60"/>
        <v>10173.21968019973</v>
      </c>
      <c r="K83" s="112">
        <f t="shared" si="61"/>
        <v>6886.802144149626</v>
      </c>
      <c r="L83" s="112">
        <f t="shared" si="62"/>
        <v>10518.025092883063</v>
      </c>
      <c r="M83" s="112">
        <f t="shared" si="63"/>
        <v>15526.608470446428</v>
      </c>
      <c r="N83" s="122">
        <v>39.2375</v>
      </c>
      <c r="O83" s="122">
        <v>243</v>
      </c>
      <c r="P83" s="122">
        <v>495</v>
      </c>
      <c r="Q83" s="112">
        <f t="shared" si="64"/>
        <v>35022.562675334426</v>
      </c>
      <c r="R83" s="112">
        <f t="shared" si="65"/>
        <v>46148.06310585855</v>
      </c>
      <c r="T83" s="10">
        <v>498.27594261794</v>
      </c>
      <c r="U83" s="10">
        <v>1654.30696785763</v>
      </c>
      <c r="V83" s="10">
        <v>2151.58291047557</v>
      </c>
      <c r="W83" s="10">
        <v>2359.51316273679</v>
      </c>
      <c r="X83" s="10">
        <v>52310.8234818933</v>
      </c>
      <c r="Y83" s="10">
        <v>56822.9195551057</v>
      </c>
    </row>
    <row r="84" spans="1:25" ht="14.25">
      <c r="A84" s="3"/>
      <c r="B84" s="3">
        <v>56</v>
      </c>
      <c r="C84" s="117" t="s">
        <v>260</v>
      </c>
      <c r="D84" s="113">
        <f t="shared" si="54"/>
        <v>0</v>
      </c>
      <c r="E84" s="113">
        <f t="shared" si="55"/>
        <v>3441.070586920138</v>
      </c>
      <c r="F84" s="112">
        <f t="shared" si="56"/>
        <v>3441.070586920138</v>
      </c>
      <c r="G84" s="112">
        <f t="shared" si="57"/>
        <v>416.5300734000723</v>
      </c>
      <c r="H84" s="112">
        <f t="shared" si="58"/>
        <v>390.1391792687107</v>
      </c>
      <c r="I84" s="112">
        <f t="shared" si="59"/>
        <v>4247.739839588921</v>
      </c>
      <c r="J84" s="112">
        <f t="shared" si="60"/>
        <v>10173.21968019973</v>
      </c>
      <c r="K84" s="112">
        <f t="shared" si="61"/>
        <v>4345.386921995036</v>
      </c>
      <c r="L84" s="112">
        <f t="shared" si="62"/>
        <v>6636.590935410599</v>
      </c>
      <c r="M84" s="112">
        <f t="shared" si="63"/>
        <v>9796.87233322517</v>
      </c>
      <c r="N84" s="122">
        <v>39.2375</v>
      </c>
      <c r="O84" s="122">
        <v>243</v>
      </c>
      <c r="P84" s="122">
        <v>495</v>
      </c>
      <c r="Q84" s="112">
        <f t="shared" si="64"/>
        <v>22098.295063323836</v>
      </c>
      <c r="R84" s="112">
        <f t="shared" si="65"/>
        <v>35977.047210419456</v>
      </c>
      <c r="T84" s="10">
        <v>0</v>
      </c>
      <c r="U84" s="10">
        <v>3865.92373980043</v>
      </c>
      <c r="V84" s="10">
        <v>3865.92373980043</v>
      </c>
      <c r="W84" s="10">
        <v>2359.51316273679</v>
      </c>
      <c r="X84" s="10">
        <v>33006.722638331</v>
      </c>
      <c r="Y84" s="10">
        <v>39233.1595408682</v>
      </c>
    </row>
    <row r="85" spans="1:25" ht="14.25">
      <c r="A85" s="3"/>
      <c r="B85" s="3">
        <v>57</v>
      </c>
      <c r="C85" s="117" t="s">
        <v>261</v>
      </c>
      <c r="D85" s="113">
        <f t="shared" si="54"/>
        <v>0</v>
      </c>
      <c r="E85" s="113">
        <f t="shared" si="55"/>
        <v>1615.6365604684863</v>
      </c>
      <c r="F85" s="112">
        <f t="shared" si="56"/>
        <v>1615.6365604684863</v>
      </c>
      <c r="G85" s="112">
        <f t="shared" si="57"/>
        <v>195.5673962858459</v>
      </c>
      <c r="H85" s="112">
        <f t="shared" si="58"/>
        <v>183.1764579586425</v>
      </c>
      <c r="I85" s="112">
        <f t="shared" si="59"/>
        <v>1994.3804147129747</v>
      </c>
      <c r="J85" s="112">
        <f t="shared" si="60"/>
        <v>22321.20696102691</v>
      </c>
      <c r="K85" s="112">
        <f t="shared" si="61"/>
        <v>3395.2564897318052</v>
      </c>
      <c r="L85" s="112">
        <f t="shared" si="62"/>
        <v>5185.48263886312</v>
      </c>
      <c r="M85" s="112">
        <f t="shared" si="63"/>
        <v>7654.760085940797</v>
      </c>
      <c r="N85" s="122">
        <v>39.2375</v>
      </c>
      <c r="O85" s="122">
        <v>243</v>
      </c>
      <c r="P85" s="122">
        <v>495</v>
      </c>
      <c r="Q85" s="112">
        <f t="shared" si="64"/>
        <v>17266.44394909519</v>
      </c>
      <c r="R85" s="112">
        <f t="shared" si="65"/>
        <v>41328.32409027561</v>
      </c>
      <c r="T85" s="10">
        <v>0</v>
      </c>
      <c r="U85" s="10">
        <v>1815.11177298892</v>
      </c>
      <c r="V85" s="10">
        <v>1815.11177298892</v>
      </c>
      <c r="W85" s="10">
        <v>5177.0416139958</v>
      </c>
      <c r="X85" s="10">
        <v>25789.7147605718</v>
      </c>
      <c r="Y85" s="10">
        <v>32781.8681475565</v>
      </c>
    </row>
    <row r="86" spans="1:25" ht="14.25">
      <c r="A86" s="3"/>
      <c r="B86" s="3">
        <v>58</v>
      </c>
      <c r="C86" s="117" t="s">
        <v>262</v>
      </c>
      <c r="D86" s="113">
        <f t="shared" si="54"/>
        <v>0</v>
      </c>
      <c r="E86" s="113">
        <f t="shared" si="55"/>
        <v>4509.665156647483</v>
      </c>
      <c r="F86" s="112">
        <f t="shared" si="56"/>
        <v>4509.665156647483</v>
      </c>
      <c r="G86" s="112">
        <f t="shared" si="57"/>
        <v>545.8798682736001</v>
      </c>
      <c r="H86" s="112">
        <f t="shared" si="58"/>
        <v>511.29351129232833</v>
      </c>
      <c r="I86" s="112">
        <f t="shared" si="59"/>
        <v>5566.838536213411</v>
      </c>
      <c r="J86" s="112">
        <f t="shared" si="60"/>
        <v>19862.822805143864</v>
      </c>
      <c r="K86" s="112">
        <f t="shared" si="61"/>
        <v>3828.3643790825636</v>
      </c>
      <c r="L86" s="112">
        <f t="shared" si="62"/>
        <v>5846.956506235188</v>
      </c>
      <c r="M86" s="112">
        <f t="shared" si="63"/>
        <v>8631.221509204326</v>
      </c>
      <c r="N86" s="122">
        <v>39.2375</v>
      </c>
      <c r="O86" s="122">
        <v>243</v>
      </c>
      <c r="P86" s="122">
        <v>495</v>
      </c>
      <c r="Q86" s="112">
        <f t="shared" si="64"/>
        <v>19468.997163558382</v>
      </c>
      <c r="R86" s="112">
        <f t="shared" si="65"/>
        <v>44513.441235879356</v>
      </c>
      <c r="T86" s="10">
        <v>0</v>
      </c>
      <c r="U86" s="10">
        <v>5066.45276441083</v>
      </c>
      <c r="V86" s="10">
        <v>5066.45276441083</v>
      </c>
      <c r="W86" s="10">
        <v>4606.85931603959</v>
      </c>
      <c r="X86" s="10">
        <v>29079.5189213737</v>
      </c>
      <c r="Y86" s="10">
        <v>38752.8310018241</v>
      </c>
    </row>
    <row r="87" spans="1:25" ht="14.25">
      <c r="A87" s="3"/>
      <c r="B87" s="3">
        <v>59</v>
      </c>
      <c r="C87" s="117" t="s">
        <v>263</v>
      </c>
      <c r="D87" s="113">
        <f t="shared" si="54"/>
        <v>0</v>
      </c>
      <c r="E87" s="113">
        <f t="shared" si="55"/>
        <v>1637.2045242611553</v>
      </c>
      <c r="F87" s="112">
        <f t="shared" si="56"/>
        <v>1637.2045242611553</v>
      </c>
      <c r="G87" s="112">
        <f t="shared" si="57"/>
        <v>198.17812609063355</v>
      </c>
      <c r="H87" s="112">
        <f t="shared" si="58"/>
        <v>185.6217747517805</v>
      </c>
      <c r="I87" s="112">
        <f t="shared" si="59"/>
        <v>2021.0044251035692</v>
      </c>
      <c r="J87" s="112">
        <f t="shared" si="60"/>
        <v>10173.21968019973</v>
      </c>
      <c r="K87" s="112">
        <f t="shared" si="61"/>
        <v>3042.1962192164187</v>
      </c>
      <c r="L87" s="112">
        <f t="shared" si="62"/>
        <v>4646.263316621439</v>
      </c>
      <c r="M87" s="112">
        <f t="shared" si="63"/>
        <v>6858.769657869744</v>
      </c>
      <c r="N87" s="122">
        <v>39.2375</v>
      </c>
      <c r="O87" s="122">
        <v>243</v>
      </c>
      <c r="P87" s="122">
        <v>495</v>
      </c>
      <c r="Q87" s="112">
        <f t="shared" si="64"/>
        <v>15470.969766233726</v>
      </c>
      <c r="R87" s="112">
        <f t="shared" si="65"/>
        <v>27518.6907990109</v>
      </c>
      <c r="T87" s="10">
        <v>0</v>
      </c>
      <c r="U87" s="10">
        <v>1839.34263403611</v>
      </c>
      <c r="V87" s="10">
        <v>1839.34263403611</v>
      </c>
      <c r="W87" s="10">
        <v>2359.51316273679</v>
      </c>
      <c r="X87" s="10">
        <v>23107.9369044896</v>
      </c>
      <c r="Y87" s="10">
        <v>27306.7927012625</v>
      </c>
    </row>
    <row r="88" spans="1:25" ht="14.25">
      <c r="A88" s="3"/>
      <c r="B88" s="3">
        <v>60</v>
      </c>
      <c r="C88" s="117" t="s">
        <v>264</v>
      </c>
      <c r="D88" s="113">
        <f t="shared" si="54"/>
        <v>0</v>
      </c>
      <c r="E88" s="113">
        <f t="shared" si="55"/>
        <v>0</v>
      </c>
      <c r="F88" s="112">
        <f t="shared" si="56"/>
        <v>0</v>
      </c>
      <c r="G88" s="112">
        <f t="shared" si="57"/>
        <v>0</v>
      </c>
      <c r="H88" s="112">
        <f t="shared" si="58"/>
        <v>0</v>
      </c>
      <c r="I88" s="112">
        <f t="shared" si="59"/>
        <v>0</v>
      </c>
      <c r="J88" s="112">
        <f t="shared" si="60"/>
        <v>1045.7665529212716</v>
      </c>
      <c r="K88" s="112">
        <f t="shared" si="61"/>
        <v>499.5371976489997</v>
      </c>
      <c r="L88" s="112">
        <f t="shared" si="62"/>
        <v>762.9295382275632</v>
      </c>
      <c r="M88" s="112">
        <f t="shared" si="63"/>
        <v>1126.2293183359266</v>
      </c>
      <c r="N88" s="122">
        <v>39.2375</v>
      </c>
      <c r="O88" s="122">
        <v>243</v>
      </c>
      <c r="P88" s="122">
        <v>495</v>
      </c>
      <c r="Q88" s="112">
        <f t="shared" si="64"/>
        <v>2540.3768610058255</v>
      </c>
      <c r="R88" s="112">
        <f t="shared" si="65"/>
        <v>4211.700107133762</v>
      </c>
      <c r="T88" s="10">
        <v>0</v>
      </c>
      <c r="U88" s="10">
        <v>0</v>
      </c>
      <c r="V88" s="10">
        <v>0</v>
      </c>
      <c r="W88" s="10">
        <v>242.548576</v>
      </c>
      <c r="X88" s="10">
        <v>3794.3884</v>
      </c>
      <c r="Y88" s="10">
        <v>4036.936976</v>
      </c>
    </row>
    <row r="89" spans="1:25" ht="14.25">
      <c r="A89" s="3"/>
      <c r="B89" s="3">
        <v>61</v>
      </c>
      <c r="C89" s="117" t="s">
        <v>265</v>
      </c>
      <c r="D89" s="113">
        <f t="shared" si="54"/>
        <v>0</v>
      </c>
      <c r="E89" s="113">
        <f t="shared" si="55"/>
        <v>1613.6758364873388</v>
      </c>
      <c r="F89" s="112">
        <f t="shared" si="56"/>
        <v>1613.6758364873388</v>
      </c>
      <c r="G89" s="112">
        <f t="shared" si="57"/>
        <v>195.3300572126839</v>
      </c>
      <c r="H89" s="112">
        <f t="shared" si="58"/>
        <v>182.95415643199405</v>
      </c>
      <c r="I89" s="112">
        <f t="shared" si="59"/>
        <v>1991.9600501320167</v>
      </c>
      <c r="J89" s="112">
        <f t="shared" si="60"/>
        <v>20329.167340569</v>
      </c>
      <c r="K89" s="112">
        <f t="shared" si="61"/>
        <v>6518.660438201496</v>
      </c>
      <c r="L89" s="112">
        <f t="shared" si="62"/>
        <v>9955.772305616829</v>
      </c>
      <c r="M89" s="112">
        <f t="shared" si="63"/>
        <v>14696.616260672463</v>
      </c>
      <c r="N89" s="122">
        <v>39.2375</v>
      </c>
      <c r="O89" s="122">
        <v>243</v>
      </c>
      <c r="P89" s="122">
        <v>495</v>
      </c>
      <c r="Q89" s="112">
        <f t="shared" si="64"/>
        <v>33150.39244304079</v>
      </c>
      <c r="R89" s="112">
        <f t="shared" si="65"/>
        <v>54269.41389519181</v>
      </c>
      <c r="T89" s="10">
        <v>0</v>
      </c>
      <c r="U89" s="10">
        <v>1812.90896743918</v>
      </c>
      <c r="V89" s="10">
        <v>1812.90896743918</v>
      </c>
      <c r="W89" s="10">
        <v>4715.02036085096</v>
      </c>
      <c r="X89" s="10">
        <v>49514.4899452118</v>
      </c>
      <c r="Y89" s="10">
        <v>56042.4192735019</v>
      </c>
    </row>
    <row r="90" spans="1:25" ht="14.25">
      <c r="A90" s="3">
        <v>14</v>
      </c>
      <c r="B90" s="3"/>
      <c r="C90" s="101" t="s">
        <v>78</v>
      </c>
      <c r="D90" s="112">
        <f aca="true" t="shared" si="66" ref="D90:R90">SUM(D76:D89)</f>
        <v>687.6638407446791</v>
      </c>
      <c r="E90" s="112">
        <f t="shared" si="66"/>
        <v>24458.070940878577</v>
      </c>
      <c r="F90" s="112">
        <f t="shared" si="66"/>
        <v>25145.734781623258</v>
      </c>
      <c r="G90" s="112">
        <f t="shared" si="66"/>
        <v>2960.567598628214</v>
      </c>
      <c r="H90" s="112">
        <f t="shared" si="66"/>
        <v>2772.9892434176113</v>
      </c>
      <c r="I90" s="112">
        <f t="shared" si="66"/>
        <v>30879.29162366908</v>
      </c>
      <c r="J90" s="112">
        <f t="shared" si="66"/>
        <v>342237.2462858013</v>
      </c>
      <c r="K90" s="112">
        <f t="shared" si="66"/>
        <v>81736.65591483575</v>
      </c>
      <c r="L90" s="112">
        <f t="shared" si="66"/>
        <v>124834.1653972037</v>
      </c>
      <c r="M90" s="112">
        <f t="shared" si="66"/>
        <v>184279.0060625388</v>
      </c>
      <c r="N90" s="112">
        <f t="shared" si="66"/>
        <v>549.325</v>
      </c>
      <c r="O90" s="112">
        <f t="shared" si="66"/>
        <v>3402</v>
      </c>
      <c r="P90" s="112">
        <f t="shared" si="66"/>
        <v>6930</v>
      </c>
      <c r="Q90" s="112">
        <f t="shared" si="66"/>
        <v>415668.56354097475</v>
      </c>
      <c r="R90" s="112">
        <f t="shared" si="66"/>
        <v>774847.6902840488</v>
      </c>
      <c r="T90" s="10">
        <v>764.023112014175</v>
      </c>
      <c r="U90" s="10">
        <v>27476.7964275046</v>
      </c>
      <c r="V90" s="10">
        <v>28240.8195395188</v>
      </c>
      <c r="W90" s="10">
        <v>79378.3737316923</v>
      </c>
      <c r="X90" s="10">
        <v>620854.905261263</v>
      </c>
      <c r="Y90" s="10">
        <v>728474.098532474</v>
      </c>
    </row>
    <row r="91" spans="1:25" ht="14.25">
      <c r="A91" s="3"/>
      <c r="B91" s="3"/>
      <c r="C91" s="101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T91" s="10"/>
      <c r="U91" s="10"/>
      <c r="V91" s="10"/>
      <c r="W91" s="10"/>
      <c r="X91" s="10"/>
      <c r="Y91" s="10"/>
    </row>
    <row r="92" spans="1:25" s="1" customFormat="1" ht="14.25">
      <c r="A92" s="33"/>
      <c r="B92" s="33"/>
      <c r="C92" s="117" t="s">
        <v>114</v>
      </c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T92" s="34"/>
      <c r="U92" s="34"/>
      <c r="V92" s="34"/>
      <c r="W92" s="34"/>
      <c r="X92" s="34"/>
      <c r="Y92" s="34"/>
    </row>
    <row r="93" spans="1:25" s="1" customFormat="1" ht="14.25">
      <c r="A93" s="33"/>
      <c r="B93" s="33">
        <v>62</v>
      </c>
      <c r="C93" s="117" t="s">
        <v>266</v>
      </c>
      <c r="D93" s="113">
        <f aca="true" t="shared" si="67" ref="D93:D101">T93*$D$279/100</f>
        <v>0</v>
      </c>
      <c r="E93" s="113">
        <f aca="true" t="shared" si="68" ref="E93:E101">U93*$E$279/100</f>
        <v>1637.2045242611553</v>
      </c>
      <c r="F93" s="112">
        <f aca="true" t="shared" si="69" ref="F93:F101">D93+E93</f>
        <v>1637.2045242611553</v>
      </c>
      <c r="G93" s="112">
        <f aca="true" t="shared" si="70" ref="G93:G101">E93*$G$279/100</f>
        <v>198.17812609063355</v>
      </c>
      <c r="H93" s="112">
        <f aca="true" t="shared" si="71" ref="H93:H101">E93*$H$279/100</f>
        <v>185.6217747517805</v>
      </c>
      <c r="I93" s="112">
        <f aca="true" t="shared" si="72" ref="I93:I101">SUM(F93:H93)</f>
        <v>2021.0044251035692</v>
      </c>
      <c r="J93" s="112">
        <f aca="true" t="shared" si="73" ref="J93:J101">W93*$J$279/100</f>
        <v>58385.18436723578</v>
      </c>
      <c r="K93" s="112">
        <f aca="true" t="shared" si="74" ref="K93:K101">Q93*$K$279/100</f>
        <v>5244.472495870478</v>
      </c>
      <c r="L93" s="112">
        <f aca="true" t="shared" si="75" ref="L93:L101">Q93*$L$279/100</f>
        <v>8009.739811874912</v>
      </c>
      <c r="M93" s="112">
        <f aca="true" t="shared" si="76" ref="M93:M101">Q93*$M$279/100</f>
        <v>11823.901627053441</v>
      </c>
      <c r="N93" s="122">
        <v>39.2375</v>
      </c>
      <c r="O93" s="122">
        <v>243</v>
      </c>
      <c r="P93" s="122">
        <v>495</v>
      </c>
      <c r="Q93" s="112">
        <f aca="true" t="shared" si="77" ref="Q93:Q101">X93*$Q$279/100</f>
        <v>26670.559548704932</v>
      </c>
      <c r="R93" s="112">
        <f aca="true" t="shared" si="78" ref="R93:R101">I93+J93+K93+L93+M93+N93+O93+P93</f>
        <v>86261.54022713819</v>
      </c>
      <c r="T93" s="34">
        <v>0</v>
      </c>
      <c r="U93" s="34">
        <v>1839.34263403611</v>
      </c>
      <c r="V93" s="34">
        <v>1839.34263403611</v>
      </c>
      <c r="W93" s="34">
        <v>13541.4957460746</v>
      </c>
      <c r="X93" s="34">
        <v>39836.0035971384</v>
      </c>
      <c r="Y93" s="34">
        <v>55215.8419772491</v>
      </c>
    </row>
    <row r="94" spans="1:25" s="1" customFormat="1" ht="14.25">
      <c r="A94" s="33"/>
      <c r="B94" s="33">
        <v>63</v>
      </c>
      <c r="C94" s="117" t="s">
        <v>267</v>
      </c>
      <c r="D94" s="113">
        <f t="shared" si="67"/>
        <v>106.78009949451567</v>
      </c>
      <c r="E94" s="113">
        <f t="shared" si="68"/>
        <v>1382.3104067115053</v>
      </c>
      <c r="F94" s="112">
        <f t="shared" si="69"/>
        <v>1489.090506206021</v>
      </c>
      <c r="G94" s="112">
        <f t="shared" si="70"/>
        <v>167.32404657951585</v>
      </c>
      <c r="H94" s="112">
        <f t="shared" si="71"/>
        <v>156.72257628743043</v>
      </c>
      <c r="I94" s="112">
        <f t="shared" si="72"/>
        <v>1813.1371290729674</v>
      </c>
      <c r="J94" s="112">
        <f t="shared" si="73"/>
        <v>6102.780340131144</v>
      </c>
      <c r="K94" s="112">
        <f t="shared" si="74"/>
        <v>435.04140671392787</v>
      </c>
      <c r="L94" s="112">
        <f t="shared" si="75"/>
        <v>664.4268757085442</v>
      </c>
      <c r="M94" s="112">
        <f t="shared" si="76"/>
        <v>980.8206260459464</v>
      </c>
      <c r="N94" s="122">
        <v>39.2375</v>
      </c>
      <c r="O94" s="122">
        <v>243</v>
      </c>
      <c r="P94" s="122">
        <v>495</v>
      </c>
      <c r="Q94" s="112">
        <f t="shared" si="77"/>
        <v>2212.3860413134535</v>
      </c>
      <c r="R94" s="112">
        <f t="shared" si="78"/>
        <v>10773.44387767253</v>
      </c>
      <c r="T94" s="34">
        <v>118.637129194748</v>
      </c>
      <c r="U94" s="34">
        <v>1552.9779125694</v>
      </c>
      <c r="V94" s="34">
        <v>1671.61504176415</v>
      </c>
      <c r="W94" s="34">
        <v>1415.4408333339</v>
      </c>
      <c r="X94" s="34">
        <v>3304.49078651974</v>
      </c>
      <c r="Y94" s="34">
        <v>6390.54666161779</v>
      </c>
    </row>
    <row r="95" spans="1:25" s="1" customFormat="1" ht="14.25">
      <c r="A95" s="33"/>
      <c r="B95" s="33">
        <v>64</v>
      </c>
      <c r="C95" s="117" t="s">
        <v>268</v>
      </c>
      <c r="D95" s="113">
        <f t="shared" si="67"/>
        <v>0</v>
      </c>
      <c r="E95" s="113">
        <f t="shared" si="68"/>
        <v>1137.2199090676288</v>
      </c>
      <c r="F95" s="112">
        <f t="shared" si="69"/>
        <v>1137.2199090676288</v>
      </c>
      <c r="G95" s="112">
        <f t="shared" si="70"/>
        <v>137.65666243421254</v>
      </c>
      <c r="H95" s="112">
        <f t="shared" si="71"/>
        <v>128.93488545632658</v>
      </c>
      <c r="I95" s="112">
        <f t="shared" si="72"/>
        <v>1403.811456958168</v>
      </c>
      <c r="J95" s="112">
        <f t="shared" si="73"/>
        <v>6102.780340131144</v>
      </c>
      <c r="K95" s="112">
        <f t="shared" si="74"/>
        <v>614.8585214890176</v>
      </c>
      <c r="L95" s="112">
        <f t="shared" si="75"/>
        <v>939.0566510014086</v>
      </c>
      <c r="M95" s="112">
        <f t="shared" si="76"/>
        <v>1386.2264848116035</v>
      </c>
      <c r="N95" s="122">
        <v>39.2375</v>
      </c>
      <c r="O95" s="122">
        <v>243</v>
      </c>
      <c r="P95" s="122">
        <v>495</v>
      </c>
      <c r="Q95" s="112">
        <f t="shared" si="77"/>
        <v>3126.838938389679</v>
      </c>
      <c r="R95" s="112">
        <f t="shared" si="78"/>
        <v>11223.97095439134</v>
      </c>
      <c r="T95" s="34">
        <v>0</v>
      </c>
      <c r="U95" s="34">
        <v>1277.62721885143</v>
      </c>
      <c r="V95" s="34">
        <v>1277.62721885143</v>
      </c>
      <c r="W95" s="34">
        <v>1415.4408333339</v>
      </c>
      <c r="X95" s="34">
        <v>4670.34697828123</v>
      </c>
      <c r="Y95" s="34">
        <v>7363.41503046655</v>
      </c>
    </row>
    <row r="96" spans="1:25" s="1" customFormat="1" ht="14.25">
      <c r="A96" s="33"/>
      <c r="B96" s="33">
        <v>65</v>
      </c>
      <c r="C96" s="117" t="s">
        <v>269</v>
      </c>
      <c r="D96" s="113">
        <f t="shared" si="67"/>
        <v>0</v>
      </c>
      <c r="E96" s="113">
        <f t="shared" si="68"/>
        <v>917.6188231787081</v>
      </c>
      <c r="F96" s="112">
        <f t="shared" si="69"/>
        <v>917.6188231787081</v>
      </c>
      <c r="G96" s="112">
        <f t="shared" si="70"/>
        <v>111.07468624001986</v>
      </c>
      <c r="H96" s="112">
        <f t="shared" si="71"/>
        <v>104.03711447165671</v>
      </c>
      <c r="I96" s="112">
        <f t="shared" si="72"/>
        <v>1132.7306238903848</v>
      </c>
      <c r="J96" s="112">
        <f t="shared" si="73"/>
        <v>6102.780340131144</v>
      </c>
      <c r="K96" s="112">
        <f t="shared" si="74"/>
        <v>435.04140671392787</v>
      </c>
      <c r="L96" s="112">
        <f t="shared" si="75"/>
        <v>664.4268757085442</v>
      </c>
      <c r="M96" s="112">
        <f t="shared" si="76"/>
        <v>980.8206260459464</v>
      </c>
      <c r="N96" s="122">
        <v>39.2375</v>
      </c>
      <c r="O96" s="122">
        <v>243</v>
      </c>
      <c r="P96" s="122">
        <v>495</v>
      </c>
      <c r="Q96" s="112">
        <f t="shared" si="77"/>
        <v>2212.3860413134535</v>
      </c>
      <c r="R96" s="112">
        <f t="shared" si="78"/>
        <v>10093.037372489947</v>
      </c>
      <c r="T96" s="34">
        <v>0</v>
      </c>
      <c r="U96" s="34">
        <v>1030.91299728012</v>
      </c>
      <c r="V96" s="34">
        <v>1030.91299728012</v>
      </c>
      <c r="W96" s="34">
        <v>1415.4408333339</v>
      </c>
      <c r="X96" s="34">
        <v>3304.49078651974</v>
      </c>
      <c r="Y96" s="34">
        <v>5749.84461713375</v>
      </c>
    </row>
    <row r="97" spans="1:25" s="1" customFormat="1" ht="14.25">
      <c r="A97" s="33"/>
      <c r="B97" s="33">
        <v>66</v>
      </c>
      <c r="C97" s="117" t="s">
        <v>270</v>
      </c>
      <c r="D97" s="113">
        <f t="shared" si="67"/>
        <v>0</v>
      </c>
      <c r="E97" s="113">
        <f t="shared" si="68"/>
        <v>1052.9087778781284</v>
      </c>
      <c r="F97" s="112">
        <f t="shared" si="69"/>
        <v>1052.9087778781284</v>
      </c>
      <c r="G97" s="112">
        <f t="shared" si="70"/>
        <v>127.45108228822735</v>
      </c>
      <c r="H97" s="112">
        <f t="shared" si="71"/>
        <v>119.37591981042607</v>
      </c>
      <c r="I97" s="112">
        <f t="shared" si="72"/>
        <v>1299.7357799767817</v>
      </c>
      <c r="J97" s="112">
        <f t="shared" si="73"/>
        <v>6102.780340131144</v>
      </c>
      <c r="K97" s="112">
        <f t="shared" si="74"/>
        <v>435.04140671392787</v>
      </c>
      <c r="L97" s="112">
        <f t="shared" si="75"/>
        <v>664.4268757085442</v>
      </c>
      <c r="M97" s="112">
        <f t="shared" si="76"/>
        <v>980.8206260459464</v>
      </c>
      <c r="N97" s="122">
        <v>39.2375</v>
      </c>
      <c r="O97" s="122">
        <v>240</v>
      </c>
      <c r="P97" s="122">
        <v>495</v>
      </c>
      <c r="Q97" s="112">
        <f t="shared" si="77"/>
        <v>2212.3860413134535</v>
      </c>
      <c r="R97" s="112">
        <f t="shared" si="78"/>
        <v>10257.042528576343</v>
      </c>
      <c r="T97" s="34">
        <v>0</v>
      </c>
      <c r="U97" s="34">
        <v>1182.90658021244</v>
      </c>
      <c r="V97" s="34">
        <v>1182.90658021244</v>
      </c>
      <c r="W97" s="34">
        <v>1415.4408333339</v>
      </c>
      <c r="X97" s="34">
        <v>3304.49078651974</v>
      </c>
      <c r="Y97" s="34">
        <v>5901.83820006608</v>
      </c>
    </row>
    <row r="98" spans="1:25" s="1" customFormat="1" ht="14.25">
      <c r="A98" s="33"/>
      <c r="B98" s="33">
        <v>67</v>
      </c>
      <c r="C98" s="117" t="s">
        <v>271</v>
      </c>
      <c r="D98" s="113">
        <f t="shared" si="67"/>
        <v>328.88270644310745</v>
      </c>
      <c r="E98" s="113">
        <f t="shared" si="68"/>
        <v>576.4528504584167</v>
      </c>
      <c r="F98" s="112">
        <f t="shared" si="69"/>
        <v>905.3355569015241</v>
      </c>
      <c r="G98" s="112">
        <f t="shared" si="70"/>
        <v>69.77768750975576</v>
      </c>
      <c r="H98" s="112">
        <f t="shared" si="71"/>
        <v>65.35664883475842</v>
      </c>
      <c r="I98" s="112">
        <f t="shared" si="72"/>
        <v>1040.4698932460383</v>
      </c>
      <c r="J98" s="112">
        <f t="shared" si="73"/>
        <v>15239.678830497358</v>
      </c>
      <c r="K98" s="112">
        <f t="shared" si="74"/>
        <v>3291.230457177196</v>
      </c>
      <c r="L98" s="112">
        <f t="shared" si="75"/>
        <v>5026.60651641608</v>
      </c>
      <c r="M98" s="112">
        <f t="shared" si="76"/>
        <v>7420.228667090405</v>
      </c>
      <c r="N98" s="122">
        <v>39.2375</v>
      </c>
      <c r="O98" s="122">
        <v>240</v>
      </c>
      <c r="P98" s="122">
        <v>495</v>
      </c>
      <c r="Q98" s="112">
        <f t="shared" si="77"/>
        <v>16737.423633315517</v>
      </c>
      <c r="R98" s="112">
        <f t="shared" si="78"/>
        <v>32792.45186442707</v>
      </c>
      <c r="T98" s="34">
        <v>365.402357919823</v>
      </c>
      <c r="U98" s="34">
        <v>647.624831624688</v>
      </c>
      <c r="V98" s="34">
        <v>1013.02718954451</v>
      </c>
      <c r="W98" s="34">
        <v>3534.59611871212</v>
      </c>
      <c r="X98" s="34">
        <v>24999.5530407221</v>
      </c>
      <c r="Y98" s="34">
        <v>29548.1763489787</v>
      </c>
    </row>
    <row r="99" spans="1:25" s="1" customFormat="1" ht="14.25">
      <c r="A99" s="33"/>
      <c r="B99" s="33">
        <v>68</v>
      </c>
      <c r="C99" s="117" t="s">
        <v>272</v>
      </c>
      <c r="D99" s="113">
        <f t="shared" si="67"/>
        <v>149.49213929232178</v>
      </c>
      <c r="E99" s="113">
        <f t="shared" si="68"/>
        <v>984.2834385378443</v>
      </c>
      <c r="F99" s="112">
        <f t="shared" si="69"/>
        <v>1133.7755778301662</v>
      </c>
      <c r="G99" s="112">
        <f t="shared" si="70"/>
        <v>119.14421472754256</v>
      </c>
      <c r="H99" s="112">
        <f t="shared" si="71"/>
        <v>111.59536637771714</v>
      </c>
      <c r="I99" s="112">
        <f t="shared" si="72"/>
        <v>1364.515158935426</v>
      </c>
      <c r="J99" s="112">
        <f t="shared" si="73"/>
        <v>6102.780340131144</v>
      </c>
      <c r="K99" s="112">
        <f t="shared" si="74"/>
        <v>435.04140671392787</v>
      </c>
      <c r="L99" s="112">
        <f t="shared" si="75"/>
        <v>664.4268757085442</v>
      </c>
      <c r="M99" s="112">
        <f t="shared" si="76"/>
        <v>980.8206260459464</v>
      </c>
      <c r="N99" s="122">
        <v>39.2375</v>
      </c>
      <c r="O99" s="122">
        <v>240</v>
      </c>
      <c r="P99" s="122">
        <v>495</v>
      </c>
      <c r="Q99" s="112">
        <f t="shared" si="77"/>
        <v>2212.3860413134535</v>
      </c>
      <c r="R99" s="112">
        <f t="shared" si="78"/>
        <v>10321.821907534988</v>
      </c>
      <c r="T99" s="34">
        <v>166.091980872647</v>
      </c>
      <c r="U99" s="34">
        <v>1105.80838597141</v>
      </c>
      <c r="V99" s="34">
        <v>1271.90036684405</v>
      </c>
      <c r="W99" s="34">
        <v>1415.4408333339</v>
      </c>
      <c r="X99" s="34">
        <v>3304.49078651974</v>
      </c>
      <c r="Y99" s="34">
        <v>5990.83198669769</v>
      </c>
    </row>
    <row r="100" spans="1:25" s="1" customFormat="1" ht="14.25">
      <c r="A100" s="33"/>
      <c r="B100" s="33">
        <v>69</v>
      </c>
      <c r="C100" s="117" t="s">
        <v>273</v>
      </c>
      <c r="D100" s="113">
        <f t="shared" si="67"/>
        <v>0</v>
      </c>
      <c r="E100" s="113">
        <f t="shared" si="68"/>
        <v>0</v>
      </c>
      <c r="F100" s="112">
        <f t="shared" si="69"/>
        <v>0</v>
      </c>
      <c r="G100" s="112">
        <f t="shared" si="70"/>
        <v>0</v>
      </c>
      <c r="H100" s="112">
        <f t="shared" si="71"/>
        <v>0</v>
      </c>
      <c r="I100" s="112">
        <f t="shared" si="72"/>
        <v>0</v>
      </c>
      <c r="J100" s="112">
        <f t="shared" si="73"/>
        <v>0</v>
      </c>
      <c r="K100" s="112">
        <f t="shared" si="74"/>
        <v>185.23376180786937</v>
      </c>
      <c r="L100" s="112">
        <f t="shared" si="75"/>
        <v>282.9024725792914</v>
      </c>
      <c r="M100" s="112">
        <f t="shared" si="76"/>
        <v>417.6179357122873</v>
      </c>
      <c r="N100" s="122">
        <v>39.2375</v>
      </c>
      <c r="O100" s="122">
        <v>243</v>
      </c>
      <c r="P100" s="122">
        <v>495</v>
      </c>
      <c r="Q100" s="112">
        <f t="shared" si="77"/>
        <v>941.9990434914877</v>
      </c>
      <c r="R100" s="112">
        <f t="shared" si="78"/>
        <v>1662.9916700994481</v>
      </c>
      <c r="T100" s="34">
        <v>0</v>
      </c>
      <c r="U100" s="34">
        <v>0</v>
      </c>
      <c r="V100" s="34">
        <v>0</v>
      </c>
      <c r="W100" s="34">
        <v>0</v>
      </c>
      <c r="X100" s="34">
        <v>1407</v>
      </c>
      <c r="Y100" s="34">
        <v>1407</v>
      </c>
    </row>
    <row r="101" spans="1:25" s="1" customFormat="1" ht="14.25">
      <c r="A101" s="33"/>
      <c r="B101" s="33">
        <v>70</v>
      </c>
      <c r="C101" s="117" t="s">
        <v>274</v>
      </c>
      <c r="D101" s="113">
        <f t="shared" si="67"/>
        <v>0</v>
      </c>
      <c r="E101" s="113">
        <f t="shared" si="68"/>
        <v>1082.3196375953967</v>
      </c>
      <c r="F101" s="112">
        <f t="shared" si="69"/>
        <v>1082.3196375953967</v>
      </c>
      <c r="G101" s="112">
        <f t="shared" si="70"/>
        <v>131.01116838566412</v>
      </c>
      <c r="H101" s="112">
        <f t="shared" si="71"/>
        <v>122.7104427101589</v>
      </c>
      <c r="I101" s="112">
        <f t="shared" si="72"/>
        <v>1336.0412486912196</v>
      </c>
      <c r="J101" s="112">
        <f t="shared" si="73"/>
        <v>6102.780340131144</v>
      </c>
      <c r="K101" s="112">
        <f t="shared" si="74"/>
        <v>435.04140671392787</v>
      </c>
      <c r="L101" s="112">
        <f t="shared" si="75"/>
        <v>664.4268757085442</v>
      </c>
      <c r="M101" s="112">
        <f t="shared" si="76"/>
        <v>980.8206260459464</v>
      </c>
      <c r="N101" s="122">
        <v>39.2375</v>
      </c>
      <c r="O101" s="122">
        <v>243</v>
      </c>
      <c r="P101" s="122">
        <v>495</v>
      </c>
      <c r="Q101" s="112">
        <f t="shared" si="77"/>
        <v>2212.3860413134535</v>
      </c>
      <c r="R101" s="112">
        <f t="shared" si="78"/>
        <v>10296.347997290783</v>
      </c>
      <c r="T101" s="34">
        <v>0</v>
      </c>
      <c r="U101" s="34">
        <v>1215.9486634586</v>
      </c>
      <c r="V101" s="34">
        <v>1215.9486634586</v>
      </c>
      <c r="W101" s="34">
        <v>1415.4408333339</v>
      </c>
      <c r="X101" s="34">
        <v>3304.49078651974</v>
      </c>
      <c r="Y101" s="34">
        <v>5934.88028331224</v>
      </c>
    </row>
    <row r="102" spans="1:25" s="1" customFormat="1" ht="14.25">
      <c r="A102" s="33">
        <v>9</v>
      </c>
      <c r="B102" s="33"/>
      <c r="C102" s="101" t="s">
        <v>78</v>
      </c>
      <c r="D102" s="112">
        <f aca="true" t="shared" si="79" ref="D102:R102">SUM(D93:D101)</f>
        <v>585.1549452299449</v>
      </c>
      <c r="E102" s="112">
        <f t="shared" si="79"/>
        <v>8770.318367688784</v>
      </c>
      <c r="F102" s="112">
        <f t="shared" si="79"/>
        <v>9355.473312918728</v>
      </c>
      <c r="G102" s="112">
        <f t="shared" si="79"/>
        <v>1061.6176742555717</v>
      </c>
      <c r="H102" s="112">
        <f t="shared" si="79"/>
        <v>994.3547287002548</v>
      </c>
      <c r="I102" s="112">
        <f t="shared" si="79"/>
        <v>11411.445715874554</v>
      </c>
      <c r="J102" s="112">
        <f t="shared" si="79"/>
        <v>110241.54523852</v>
      </c>
      <c r="K102" s="112">
        <f t="shared" si="79"/>
        <v>11511.002269914201</v>
      </c>
      <c r="L102" s="112">
        <f t="shared" si="79"/>
        <v>17580.439830414416</v>
      </c>
      <c r="M102" s="112">
        <f t="shared" si="79"/>
        <v>25952.077844897467</v>
      </c>
      <c r="N102" s="112">
        <f t="shared" si="79"/>
        <v>353.13750000000005</v>
      </c>
      <c r="O102" s="112">
        <f t="shared" si="79"/>
        <v>2178</v>
      </c>
      <c r="P102" s="112">
        <f t="shared" si="79"/>
        <v>4455</v>
      </c>
      <c r="Q102" s="112">
        <f t="shared" si="79"/>
        <v>58538.75137046888</v>
      </c>
      <c r="R102" s="112">
        <f t="shared" si="79"/>
        <v>183682.64839962064</v>
      </c>
      <c r="T102" s="34">
        <v>650.131467987217</v>
      </c>
      <c r="U102" s="34">
        <v>9854.14922400418</v>
      </c>
      <c r="V102" s="34">
        <v>10504.2806919914</v>
      </c>
      <c r="W102" s="34">
        <v>25565.7368647901</v>
      </c>
      <c r="X102" s="34">
        <v>87433.3575487404</v>
      </c>
      <c r="Y102" s="34">
        <v>123503.375105522</v>
      </c>
    </row>
    <row r="103" spans="1:25" ht="14.25">
      <c r="A103" s="3"/>
      <c r="B103" s="3"/>
      <c r="C103" s="101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T103" s="10"/>
      <c r="U103" s="10"/>
      <c r="V103" s="10"/>
      <c r="W103" s="10"/>
      <c r="X103" s="10"/>
      <c r="Y103" s="10"/>
    </row>
    <row r="104" spans="1:25" s="1" customFormat="1" ht="14.25">
      <c r="A104" s="33"/>
      <c r="B104" s="33"/>
      <c r="C104" s="101" t="s">
        <v>120</v>
      </c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T104" s="34"/>
      <c r="U104" s="34"/>
      <c r="V104" s="34"/>
      <c r="W104" s="34"/>
      <c r="X104" s="34"/>
      <c r="Y104" s="34"/>
    </row>
    <row r="105" spans="1:25" s="1" customFormat="1" ht="14.25">
      <c r="A105" s="33">
        <v>1</v>
      </c>
      <c r="B105" s="33">
        <v>71</v>
      </c>
      <c r="C105" s="117" t="s">
        <v>275</v>
      </c>
      <c r="D105" s="113">
        <f>T105*$D$279/100</f>
        <v>0</v>
      </c>
      <c r="E105" s="113">
        <f>U105*$E$279/100</f>
        <v>2456.7871483823023</v>
      </c>
      <c r="F105" s="112">
        <f>D105+E105</f>
        <v>2456.7871483823023</v>
      </c>
      <c r="G105" s="112">
        <f>E105*$G$279/100</f>
        <v>297.3858586725308</v>
      </c>
      <c r="H105" s="112">
        <f>E105*$H$279/100</f>
        <v>278.5438128909945</v>
      </c>
      <c r="I105" s="112">
        <f>SUM(F105:H105)</f>
        <v>3032.7168199458274</v>
      </c>
      <c r="J105" s="112">
        <f>W105*$J$279/100</f>
        <v>44083.951947532216</v>
      </c>
      <c r="K105" s="112">
        <f>Q105*$K$279/100</f>
        <v>12926.25078410335</v>
      </c>
      <c r="L105" s="112">
        <f>Q105*$L$279/100</f>
        <v>19741.91028844875</v>
      </c>
      <c r="M105" s="112">
        <f>Q105*$M$279/100</f>
        <v>29142.819949614826</v>
      </c>
      <c r="N105" s="122">
        <v>39.2375</v>
      </c>
      <c r="O105" s="122">
        <v>240</v>
      </c>
      <c r="P105" s="122">
        <v>501.09375</v>
      </c>
      <c r="Q105" s="112">
        <f>X105*$Q$279/100</f>
        <v>65735.94228025415</v>
      </c>
      <c r="R105" s="112">
        <f>I105+J105+K105+L105+M105+N105+O105+P105</f>
        <v>109707.98103964498</v>
      </c>
      <c r="T105" s="34">
        <v>0</v>
      </c>
      <c r="U105" s="34">
        <v>2760.11535382903</v>
      </c>
      <c r="V105" s="34">
        <v>2760.11535382903</v>
      </c>
      <c r="W105" s="34">
        <v>10224.5570385261</v>
      </c>
      <c r="X105" s="34">
        <v>98185.3128486254</v>
      </c>
      <c r="Y105" s="34">
        <v>111169.985240981</v>
      </c>
    </row>
    <row r="106" spans="1:25" s="1" customFormat="1" ht="14.25">
      <c r="A106" s="33"/>
      <c r="B106" s="33"/>
      <c r="C106" s="101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T106" s="34"/>
      <c r="U106" s="34"/>
      <c r="V106" s="34"/>
      <c r="W106" s="34"/>
      <c r="X106" s="34"/>
      <c r="Y106" s="34"/>
    </row>
    <row r="107" spans="1:25" s="1" customFormat="1" ht="14.25">
      <c r="A107" s="33"/>
      <c r="B107" s="33"/>
      <c r="C107" s="101" t="s">
        <v>121</v>
      </c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T107" s="34"/>
      <c r="U107" s="34"/>
      <c r="V107" s="34"/>
      <c r="W107" s="34"/>
      <c r="X107" s="34"/>
      <c r="Y107" s="34"/>
    </row>
    <row r="108" spans="1:25" s="1" customFormat="1" ht="14.25">
      <c r="A108" s="33"/>
      <c r="B108" s="33">
        <v>72</v>
      </c>
      <c r="C108" s="117" t="s">
        <v>276</v>
      </c>
      <c r="D108" s="113">
        <f>T108*$D$279/100</f>
        <v>2132.556416150595</v>
      </c>
      <c r="E108" s="113">
        <f>U108*$E$279/100</f>
        <v>2941.0859717266203</v>
      </c>
      <c r="F108" s="112">
        <f>D108+E108</f>
        <v>5073.642387877215</v>
      </c>
      <c r="G108" s="112">
        <f>E108*$G$279/100</f>
        <v>356.00860974365236</v>
      </c>
      <c r="H108" s="112">
        <f>E108*$H$279/100</f>
        <v>333.45228997325773</v>
      </c>
      <c r="I108" s="112">
        <f>SUM(F108:H108)</f>
        <v>5763.103287594125</v>
      </c>
      <c r="J108" s="112">
        <f>W108*$J$279/100</f>
        <v>0</v>
      </c>
      <c r="K108" s="112">
        <f>Q108*$K$279/100</f>
        <v>2706.9243084422155</v>
      </c>
      <c r="L108" s="112">
        <f>Q108*$L$279/100</f>
        <v>4134.2116710753835</v>
      </c>
      <c r="M108" s="112">
        <f>Q108*$M$279/100</f>
        <v>6102.883895396995</v>
      </c>
      <c r="N108" s="122">
        <v>39.2375</v>
      </c>
      <c r="O108" s="122">
        <v>240</v>
      </c>
      <c r="P108" s="122">
        <v>501.09375</v>
      </c>
      <c r="Q108" s="112">
        <f>X108*$Q$279/100</f>
        <v>13765.957590394812</v>
      </c>
      <c r="R108" s="112">
        <f>I108+J108+K108+L108+M108+N108+O108+P108</f>
        <v>19487.454412508716</v>
      </c>
      <c r="T108" s="34">
        <v>2369.35882487112</v>
      </c>
      <c r="U108" s="34">
        <v>3304.20832461576</v>
      </c>
      <c r="V108" s="34">
        <v>5672.56714948688</v>
      </c>
      <c r="W108" s="34">
        <v>0</v>
      </c>
      <c r="X108" s="34">
        <v>20561.2760050117</v>
      </c>
      <c r="Y108" s="34">
        <v>26233.8431544986</v>
      </c>
    </row>
    <row r="109" spans="1:25" s="1" customFormat="1" ht="14.25">
      <c r="A109" s="33"/>
      <c r="B109" s="33">
        <v>73</v>
      </c>
      <c r="C109" s="117" t="s">
        <v>277</v>
      </c>
      <c r="D109" s="113">
        <f>T109*$D$279/100</f>
        <v>0</v>
      </c>
      <c r="E109" s="113">
        <f>U109*$E$279/100</f>
        <v>0</v>
      </c>
      <c r="F109" s="112">
        <f>D109+E109</f>
        <v>0</v>
      </c>
      <c r="G109" s="112">
        <f>E109*$G$279/100</f>
        <v>0</v>
      </c>
      <c r="H109" s="112">
        <f>E109*$H$279/100</f>
        <v>0</v>
      </c>
      <c r="I109" s="112">
        <f>SUM(F109:H109)</f>
        <v>0</v>
      </c>
      <c r="J109" s="112">
        <f>W109*$J$279/100</f>
        <v>522.8832764606358</v>
      </c>
      <c r="K109" s="112">
        <f>Q109*$K$279/100</f>
        <v>399.62975811919983</v>
      </c>
      <c r="L109" s="112">
        <f>Q109*$L$279/100</f>
        <v>610.3436305820507</v>
      </c>
      <c r="M109" s="112">
        <f>Q109*$M$279/100</f>
        <v>900.9834546687415</v>
      </c>
      <c r="N109" s="122">
        <v>39.2375</v>
      </c>
      <c r="O109" s="122">
        <v>240</v>
      </c>
      <c r="P109" s="122">
        <v>501.09375</v>
      </c>
      <c r="Q109" s="112">
        <f>X109*$Q$279/100</f>
        <v>2032.3014888046607</v>
      </c>
      <c r="R109" s="112">
        <f>I109+J109+K109+L109+M109+N109+O109+P109</f>
        <v>3214.171369830628</v>
      </c>
      <c r="T109" s="34">
        <v>0</v>
      </c>
      <c r="U109" s="34">
        <v>0</v>
      </c>
      <c r="V109" s="34">
        <v>0</v>
      </c>
      <c r="W109" s="34">
        <v>121.274288</v>
      </c>
      <c r="X109" s="34">
        <v>3035.51072</v>
      </c>
      <c r="Y109" s="34">
        <v>3156.785008</v>
      </c>
    </row>
    <row r="110" spans="1:25" s="1" customFormat="1" ht="14.25">
      <c r="A110" s="33"/>
      <c r="B110" s="33">
        <v>74</v>
      </c>
      <c r="C110" s="117" t="s">
        <v>278</v>
      </c>
      <c r="D110" s="113">
        <f>T110*$D$279/100</f>
        <v>135.90244264655837</v>
      </c>
      <c r="E110" s="113">
        <f>U110*$E$279/100</f>
        <v>1562.757822018991</v>
      </c>
      <c r="F110" s="112">
        <f>D110+E110</f>
        <v>1698.6602646655492</v>
      </c>
      <c r="G110" s="112">
        <f>E110*$G$279/100</f>
        <v>189.1666020413474</v>
      </c>
      <c r="H110" s="112">
        <f>E110*$H$279/100</f>
        <v>177.18121110207758</v>
      </c>
      <c r="I110" s="112">
        <f>SUM(F110:H110)</f>
        <v>2065.008077808974</v>
      </c>
      <c r="J110" s="112">
        <f>W110*$J$279/100</f>
        <v>522.8832764606358</v>
      </c>
      <c r="K110" s="112">
        <f>Q110*$K$279/100</f>
        <v>399.62975811919983</v>
      </c>
      <c r="L110" s="112">
        <f>Q110*$L$279/100</f>
        <v>610.3436305820507</v>
      </c>
      <c r="M110" s="112">
        <f>Q110*$M$279/100</f>
        <v>900.9834546687415</v>
      </c>
      <c r="N110" s="122">
        <v>39.2375</v>
      </c>
      <c r="O110" s="122">
        <v>240</v>
      </c>
      <c r="P110" s="122">
        <v>501.09375</v>
      </c>
      <c r="Q110" s="112">
        <f>X110*$Q$279/100</f>
        <v>2032.3014888046607</v>
      </c>
      <c r="R110" s="112">
        <f>I110+J110+K110+L110+M110+N110+O110+P110</f>
        <v>5279.179447639602</v>
      </c>
      <c r="T110" s="34">
        <v>150.993263</v>
      </c>
      <c r="U110" s="34">
        <v>1755.70434</v>
      </c>
      <c r="V110" s="34">
        <v>1906.697603</v>
      </c>
      <c r="W110" s="34">
        <v>121.274288</v>
      </c>
      <c r="X110" s="34">
        <v>3035.51072</v>
      </c>
      <c r="Y110" s="34">
        <v>5064.482611</v>
      </c>
    </row>
    <row r="111" spans="1:25" s="1" customFormat="1" ht="14.25">
      <c r="A111" s="33"/>
      <c r="B111" s="33">
        <v>75</v>
      </c>
      <c r="C111" s="117" t="s">
        <v>279</v>
      </c>
      <c r="D111" s="113">
        <f>T111*$D$279/100</f>
        <v>0</v>
      </c>
      <c r="E111" s="113">
        <f>U111*$E$279/100</f>
        <v>0</v>
      </c>
      <c r="F111" s="112">
        <f>D111+E111</f>
        <v>0</v>
      </c>
      <c r="G111" s="112">
        <f>E111*$G$279/100</f>
        <v>0</v>
      </c>
      <c r="H111" s="112">
        <f>E111*$H$279/100</f>
        <v>0</v>
      </c>
      <c r="I111" s="112">
        <f>SUM(F111:H111)</f>
        <v>0</v>
      </c>
      <c r="J111" s="112">
        <f>W111*$J$279/100</f>
        <v>522.8832764606358</v>
      </c>
      <c r="K111" s="112">
        <f>Q111*$K$279/100</f>
        <v>499.5371976489997</v>
      </c>
      <c r="L111" s="112">
        <f>Q111*$L$279/100</f>
        <v>762.9295382275632</v>
      </c>
      <c r="M111" s="112">
        <f>Q111*$M$279/100</f>
        <v>1126.2293183359266</v>
      </c>
      <c r="N111" s="122">
        <v>39.2375</v>
      </c>
      <c r="O111" s="122">
        <v>240</v>
      </c>
      <c r="P111" s="122">
        <v>501.09375</v>
      </c>
      <c r="Q111" s="112">
        <f>X111*$Q$279/100</f>
        <v>2540.3768610058255</v>
      </c>
      <c r="R111" s="112">
        <f>I111+J111+K111+L111+M111+N111+O111+P111</f>
        <v>3691.9105806731254</v>
      </c>
      <c r="T111" s="34">
        <v>0</v>
      </c>
      <c r="U111" s="34">
        <v>0</v>
      </c>
      <c r="V111" s="34">
        <v>0</v>
      </c>
      <c r="W111" s="34">
        <v>121.274288</v>
      </c>
      <c r="X111" s="34">
        <v>3794.3884</v>
      </c>
      <c r="Y111" s="34">
        <v>3914.662688</v>
      </c>
    </row>
    <row r="112" spans="1:25" s="1" customFormat="1" ht="14.25">
      <c r="A112" s="33"/>
      <c r="B112" s="33">
        <v>76</v>
      </c>
      <c r="C112" s="117" t="s">
        <v>280</v>
      </c>
      <c r="D112" s="113">
        <f>T112*$D$279/100</f>
        <v>0</v>
      </c>
      <c r="E112" s="113">
        <f>U112*$E$279/100</f>
        <v>0</v>
      </c>
      <c r="F112" s="112">
        <f>D112+E112</f>
        <v>0</v>
      </c>
      <c r="G112" s="112">
        <f>E112*$G$279/100</f>
        <v>0</v>
      </c>
      <c r="H112" s="112">
        <f>E112*$H$279/100</f>
        <v>0</v>
      </c>
      <c r="I112" s="112">
        <f>SUM(F112:H112)</f>
        <v>0</v>
      </c>
      <c r="J112" s="112">
        <f>W112*$J$279/100</f>
        <v>63042.87238154358</v>
      </c>
      <c r="K112" s="112">
        <f>Q112*$K$279/100</f>
        <v>6865.920156627351</v>
      </c>
      <c r="L112" s="112">
        <f>Q112*$L$279/100</f>
        <v>10486.132602849044</v>
      </c>
      <c r="M112" s="112">
        <f>Q112*$M$279/100</f>
        <v>15479.529080396209</v>
      </c>
      <c r="N112" s="122">
        <v>39.2375</v>
      </c>
      <c r="O112" s="122">
        <v>240</v>
      </c>
      <c r="P112" s="122">
        <v>501.09375</v>
      </c>
      <c r="Q112" s="112">
        <f>X112*$Q$279/100</f>
        <v>34916.36814535135</v>
      </c>
      <c r="R112" s="112">
        <f>I112+J112+K112+L112+M112+N112+O112+P112</f>
        <v>96654.7854714162</v>
      </c>
      <c r="T112" s="34">
        <v>0</v>
      </c>
      <c r="U112" s="34">
        <v>0</v>
      </c>
      <c r="V112" s="34">
        <v>0</v>
      </c>
      <c r="W112" s="34">
        <v>14621.7708726474</v>
      </c>
      <c r="X112" s="34">
        <v>52152.2079241403</v>
      </c>
      <c r="Y112" s="34">
        <v>66773.9787967877</v>
      </c>
    </row>
    <row r="113" spans="1:25" s="1" customFormat="1" ht="14.25">
      <c r="A113" s="33">
        <v>5</v>
      </c>
      <c r="B113" s="33"/>
      <c r="C113" s="101" t="s">
        <v>78</v>
      </c>
      <c r="D113" s="112">
        <f aca="true" t="shared" si="80" ref="D113:R113">SUM(D108:D112)</f>
        <v>2268.4588587971534</v>
      </c>
      <c r="E113" s="112">
        <f t="shared" si="80"/>
        <v>4503.843793745611</v>
      </c>
      <c r="F113" s="112">
        <f t="shared" si="80"/>
        <v>6772.302652542764</v>
      </c>
      <c r="G113" s="112">
        <f t="shared" si="80"/>
        <v>545.1752117849998</v>
      </c>
      <c r="H113" s="112">
        <f t="shared" si="80"/>
        <v>510.6335010753353</v>
      </c>
      <c r="I113" s="112">
        <f t="shared" si="80"/>
        <v>7828.111365403099</v>
      </c>
      <c r="J113" s="112">
        <f t="shared" si="80"/>
        <v>64611.52221092548</v>
      </c>
      <c r="K113" s="112">
        <f t="shared" si="80"/>
        <v>10871.641178956967</v>
      </c>
      <c r="L113" s="112">
        <f t="shared" si="80"/>
        <v>16603.96107331609</v>
      </c>
      <c r="M113" s="112">
        <f t="shared" si="80"/>
        <v>24510.609203466614</v>
      </c>
      <c r="N113" s="112">
        <f t="shared" si="80"/>
        <v>196.1875</v>
      </c>
      <c r="O113" s="112">
        <f t="shared" si="80"/>
        <v>1200</v>
      </c>
      <c r="P113" s="112">
        <f t="shared" si="80"/>
        <v>2505.46875</v>
      </c>
      <c r="Q113" s="112">
        <f t="shared" si="80"/>
        <v>55287.30557436131</v>
      </c>
      <c r="R113" s="112">
        <f t="shared" si="80"/>
        <v>128327.50128206826</v>
      </c>
      <c r="T113" s="34">
        <v>2520.35208787112</v>
      </c>
      <c r="U113" s="34">
        <v>5059.91266461576</v>
      </c>
      <c r="V113" s="34">
        <v>7580.26475248688</v>
      </c>
      <c r="W113" s="34">
        <v>14984.5937366474</v>
      </c>
      <c r="X113" s="34">
        <v>82578.893769152</v>
      </c>
      <c r="Y113" s="34">
        <v>105143.752258286</v>
      </c>
    </row>
    <row r="114" spans="1:25" ht="14.25">
      <c r="A114" s="3"/>
      <c r="B114" s="3"/>
      <c r="C114" s="101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T114" s="10"/>
      <c r="U114" s="10"/>
      <c r="V114" s="10"/>
      <c r="W114" s="10"/>
      <c r="X114" s="10"/>
      <c r="Y114" s="10"/>
    </row>
    <row r="115" spans="1:25" ht="14.25">
      <c r="A115" s="3"/>
      <c r="B115" s="3"/>
      <c r="C115" s="117" t="s">
        <v>127</v>
      </c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T115" s="10"/>
      <c r="U115" s="10"/>
      <c r="V115" s="10"/>
      <c r="W115" s="10"/>
      <c r="X115" s="10"/>
      <c r="Y115" s="10"/>
    </row>
    <row r="116" spans="1:25" ht="14.25">
      <c r="A116" s="3"/>
      <c r="B116" s="3">
        <v>77</v>
      </c>
      <c r="C116" s="117" t="s">
        <v>281</v>
      </c>
      <c r="D116" s="113">
        <f>T116*$D$279/100</f>
        <v>0</v>
      </c>
      <c r="E116" s="113">
        <f>U116*$E$279/100</f>
        <v>0</v>
      </c>
      <c r="F116" s="112">
        <f>D116+E116</f>
        <v>0</v>
      </c>
      <c r="G116" s="112">
        <f>E116*$G$279/100</f>
        <v>0</v>
      </c>
      <c r="H116" s="112">
        <f>F116*$H$279/100</f>
        <v>0</v>
      </c>
      <c r="I116" s="112">
        <f>SUM(F116:H116)</f>
        <v>0</v>
      </c>
      <c r="J116" s="112">
        <f>W116*$J$279/100</f>
        <v>16166.61056140408</v>
      </c>
      <c r="K116" s="112">
        <f>Q116*$K$279/100</f>
        <v>4180.651242652687</v>
      </c>
      <c r="L116" s="112">
        <f>Q116*$L$279/100</f>
        <v>6384.994625142285</v>
      </c>
      <c r="M116" s="112">
        <f>Q116*$M$279/100</f>
        <v>9425.468256162421</v>
      </c>
      <c r="N116" s="122">
        <v>39.2375</v>
      </c>
      <c r="O116" s="122">
        <v>240</v>
      </c>
      <c r="P116" s="122">
        <v>501.09375</v>
      </c>
      <c r="Q116" s="112">
        <f>X116*$Q$279/100</f>
        <v>21260.538215679768</v>
      </c>
      <c r="R116" s="112">
        <f>I116+J116+K116+L116+M116+N116+O116+P116</f>
        <v>36938.05593536148</v>
      </c>
      <c r="T116" s="10">
        <v>0</v>
      </c>
      <c r="U116" s="10">
        <v>0</v>
      </c>
      <c r="V116" s="10">
        <v>0</v>
      </c>
      <c r="W116" s="10">
        <v>3749.58288679397</v>
      </c>
      <c r="X116" s="10">
        <v>31755.4221271688</v>
      </c>
      <c r="Y116" s="10">
        <v>35505.0050139628</v>
      </c>
    </row>
    <row r="117" spans="1:25" ht="14.25">
      <c r="A117" s="3"/>
      <c r="B117" s="3">
        <v>78</v>
      </c>
      <c r="C117" s="117" t="s">
        <v>282</v>
      </c>
      <c r="D117" s="113">
        <f>T117*$D$279/100</f>
        <v>0</v>
      </c>
      <c r="E117" s="113">
        <f>U117*$E$279/100</f>
        <v>0</v>
      </c>
      <c r="F117" s="112">
        <f>D117+E117</f>
        <v>0</v>
      </c>
      <c r="G117" s="112">
        <f>E117*$G$279/100</f>
        <v>0</v>
      </c>
      <c r="H117" s="112">
        <f>F117*$H$279/100</f>
        <v>0</v>
      </c>
      <c r="I117" s="112">
        <f>SUM(F117:H117)</f>
        <v>0</v>
      </c>
      <c r="J117" s="112">
        <f>W117*$J$279/100</f>
        <v>522.8832764606358</v>
      </c>
      <c r="K117" s="112">
        <f>Q117*$K$279/100</f>
        <v>99.90743952979996</v>
      </c>
      <c r="L117" s="112">
        <f>Q117*$L$279/100</f>
        <v>152.58590764551266</v>
      </c>
      <c r="M117" s="112">
        <f>Q117*$M$279/100</f>
        <v>225.24586366718538</v>
      </c>
      <c r="N117" s="122">
        <v>39.2375</v>
      </c>
      <c r="O117" s="122">
        <v>240</v>
      </c>
      <c r="P117" s="122">
        <v>501.09375</v>
      </c>
      <c r="Q117" s="112">
        <f>X117*$Q$279/100</f>
        <v>508.0753722011652</v>
      </c>
      <c r="R117" s="112">
        <f>I117+J117+K117+L117+M117+N117+O117+P117</f>
        <v>1780.9537373031337</v>
      </c>
      <c r="T117" s="10">
        <v>0</v>
      </c>
      <c r="U117" s="10">
        <v>0</v>
      </c>
      <c r="V117" s="10">
        <v>0</v>
      </c>
      <c r="W117" s="10">
        <v>121.274288</v>
      </c>
      <c r="X117" s="10">
        <v>758.87768</v>
      </c>
      <c r="Y117" s="10">
        <v>880.151968</v>
      </c>
    </row>
    <row r="118" spans="1:25" ht="14.25">
      <c r="A118" s="3">
        <v>2</v>
      </c>
      <c r="B118" s="3"/>
      <c r="C118" s="101" t="s">
        <v>78</v>
      </c>
      <c r="D118" s="112">
        <f aca="true" t="shared" si="81" ref="D118:R118">SUM(D116:D117)</f>
        <v>0</v>
      </c>
      <c r="E118" s="112">
        <f t="shared" si="81"/>
        <v>0</v>
      </c>
      <c r="F118" s="112">
        <f t="shared" si="81"/>
        <v>0</v>
      </c>
      <c r="G118" s="112">
        <f t="shared" si="81"/>
        <v>0</v>
      </c>
      <c r="H118" s="112">
        <f t="shared" si="81"/>
        <v>0</v>
      </c>
      <c r="I118" s="112">
        <f t="shared" si="81"/>
        <v>0</v>
      </c>
      <c r="J118" s="112">
        <f t="shared" si="81"/>
        <v>16689.493837864717</v>
      </c>
      <c r="K118" s="112">
        <f t="shared" si="81"/>
        <v>4280.558682182487</v>
      </c>
      <c r="L118" s="112">
        <f t="shared" si="81"/>
        <v>6537.580532787798</v>
      </c>
      <c r="M118" s="112">
        <f t="shared" si="81"/>
        <v>9650.714119829607</v>
      </c>
      <c r="N118" s="112">
        <f t="shared" si="81"/>
        <v>78.475</v>
      </c>
      <c r="O118" s="112">
        <f t="shared" si="81"/>
        <v>480</v>
      </c>
      <c r="P118" s="112">
        <f t="shared" si="81"/>
        <v>1002.1875</v>
      </c>
      <c r="Q118" s="112">
        <f t="shared" si="81"/>
        <v>21768.613587880933</v>
      </c>
      <c r="R118" s="112">
        <f t="shared" si="81"/>
        <v>38719.009672664615</v>
      </c>
      <c r="T118" s="10">
        <v>0</v>
      </c>
      <c r="U118" s="10">
        <v>0</v>
      </c>
      <c r="V118" s="10">
        <v>0</v>
      </c>
      <c r="W118" s="10">
        <v>3870.85717479397</v>
      </c>
      <c r="X118" s="10">
        <v>32514.2998071688</v>
      </c>
      <c r="Y118" s="10">
        <v>36385.1569819628</v>
      </c>
    </row>
    <row r="119" spans="1:25" ht="14.25">
      <c r="A119" s="3"/>
      <c r="B119" s="3"/>
      <c r="C119" s="101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T119" s="10"/>
      <c r="U119" s="10"/>
      <c r="V119" s="10"/>
      <c r="W119" s="10"/>
      <c r="X119" s="10"/>
      <c r="Y119" s="10"/>
    </row>
    <row r="120" spans="1:25" ht="14.25">
      <c r="A120" s="3"/>
      <c r="B120" s="3"/>
      <c r="C120" s="101" t="s">
        <v>132</v>
      </c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T120" s="10"/>
      <c r="U120" s="10"/>
      <c r="V120" s="10"/>
      <c r="W120" s="10"/>
      <c r="X120" s="10"/>
      <c r="Y120" s="10"/>
    </row>
    <row r="121" spans="1:25" ht="14.25">
      <c r="A121" s="3"/>
      <c r="B121" s="3">
        <v>79</v>
      </c>
      <c r="C121" s="117" t="s">
        <v>283</v>
      </c>
      <c r="D121" s="113">
        <f>T121*$D$279/100</f>
        <v>0</v>
      </c>
      <c r="E121" s="113">
        <f>U121*$E$279/100</f>
        <v>0</v>
      </c>
      <c r="F121" s="112">
        <f>D121+E121</f>
        <v>0</v>
      </c>
      <c r="G121" s="112">
        <f>E121*$G$279/100</f>
        <v>0</v>
      </c>
      <c r="H121" s="112">
        <f>F121*$H$279/100</f>
        <v>0</v>
      </c>
      <c r="I121" s="112">
        <f>SUM(F121:H121)</f>
        <v>0</v>
      </c>
      <c r="J121" s="112">
        <f>W121*$J$279/100</f>
        <v>81577.45620874307</v>
      </c>
      <c r="K121" s="112">
        <f>Q121*$K$279/100</f>
        <v>20316.01384862447</v>
      </c>
      <c r="L121" s="112">
        <f>Q121*$L$279/100</f>
        <v>31028.093877899184</v>
      </c>
      <c r="M121" s="112">
        <f>Q121*$M$279/100</f>
        <v>45803.376676898806</v>
      </c>
      <c r="N121" s="122">
        <v>39.2375</v>
      </c>
      <c r="O121" s="122">
        <v>240</v>
      </c>
      <c r="P121" s="122">
        <v>501.09375</v>
      </c>
      <c r="Q121" s="112">
        <f>X121*$Q$279/100</f>
        <v>103316.29302445572</v>
      </c>
      <c r="R121" s="112">
        <f>I121+J121+K121+L121+M121+N121+O121+P121</f>
        <v>179505.2718621655</v>
      </c>
      <c r="T121" s="10">
        <v>0</v>
      </c>
      <c r="U121" s="10">
        <v>0</v>
      </c>
      <c r="V121" s="10">
        <v>0</v>
      </c>
      <c r="W121" s="10">
        <v>18920.5667190836</v>
      </c>
      <c r="X121" s="10">
        <v>154316.530669304</v>
      </c>
      <c r="Y121" s="10">
        <v>173238.097388387</v>
      </c>
    </row>
    <row r="122" spans="1:25" ht="14.25">
      <c r="A122" s="3"/>
      <c r="B122" s="3">
        <v>80</v>
      </c>
      <c r="C122" s="101" t="s">
        <v>284</v>
      </c>
      <c r="D122" s="113">
        <f>T122*$D$279/100</f>
        <v>0</v>
      </c>
      <c r="E122" s="113">
        <f>U122*$E$279/100</f>
        <v>0</v>
      </c>
      <c r="F122" s="112">
        <f>D122+E122</f>
        <v>0</v>
      </c>
      <c r="G122" s="112">
        <f>E122*$G$279/100</f>
        <v>0</v>
      </c>
      <c r="H122" s="112">
        <f>F122*$H$279/100</f>
        <v>0</v>
      </c>
      <c r="I122" s="112">
        <f>SUM(F122:H122)</f>
        <v>0</v>
      </c>
      <c r="J122" s="112">
        <f>W122*$J$279/100</f>
        <v>4311.575727087639</v>
      </c>
      <c r="K122" s="112">
        <f>Q122*$K$279/100</f>
        <v>658.2578600137505</v>
      </c>
      <c r="L122" s="112">
        <f>Q122*$L$279/100</f>
        <v>1005.3392771119096</v>
      </c>
      <c r="M122" s="112">
        <f>Q122*$M$279/100</f>
        <v>1484.0722662128192</v>
      </c>
      <c r="N122" s="122">
        <v>39.2375</v>
      </c>
      <c r="O122" s="122">
        <v>240</v>
      </c>
      <c r="P122" s="122">
        <v>501.09375</v>
      </c>
      <c r="Q122" s="112">
        <f>X122*$Q$279/100</f>
        <v>3347.5445753073477</v>
      </c>
      <c r="R122" s="112">
        <f>I122+J122+K122+L122+M122+N122+O122+P122</f>
        <v>8239.576380426119</v>
      </c>
      <c r="T122" s="10">
        <v>0</v>
      </c>
      <c r="U122" s="10">
        <v>0</v>
      </c>
      <c r="V122" s="10">
        <v>0</v>
      </c>
      <c r="W122" s="10">
        <v>1000</v>
      </c>
      <c r="X122" s="10">
        <v>5000</v>
      </c>
      <c r="Y122" s="10">
        <v>6000</v>
      </c>
    </row>
    <row r="123" spans="1:29" ht="14.25">
      <c r="A123" s="3">
        <v>2</v>
      </c>
      <c r="B123" s="3"/>
      <c r="C123" s="101" t="s">
        <v>78</v>
      </c>
      <c r="D123" s="112">
        <f aca="true" t="shared" si="82" ref="D123:R123">SUM(D121:D122)</f>
        <v>0</v>
      </c>
      <c r="E123" s="112">
        <f t="shared" si="82"/>
        <v>0</v>
      </c>
      <c r="F123" s="112">
        <f t="shared" si="82"/>
        <v>0</v>
      </c>
      <c r="G123" s="112">
        <f t="shared" si="82"/>
        <v>0</v>
      </c>
      <c r="H123" s="112">
        <f t="shared" si="82"/>
        <v>0</v>
      </c>
      <c r="I123" s="112">
        <f t="shared" si="82"/>
        <v>0</v>
      </c>
      <c r="J123" s="112">
        <f t="shared" si="82"/>
        <v>85889.0319358307</v>
      </c>
      <c r="K123" s="112">
        <f t="shared" si="82"/>
        <v>20974.271708638218</v>
      </c>
      <c r="L123" s="112">
        <f t="shared" si="82"/>
        <v>32033.433155011095</v>
      </c>
      <c r="M123" s="112">
        <f t="shared" si="82"/>
        <v>47287.44894311162</v>
      </c>
      <c r="N123" s="112">
        <f t="shared" si="82"/>
        <v>78.475</v>
      </c>
      <c r="O123" s="112">
        <f t="shared" si="82"/>
        <v>480</v>
      </c>
      <c r="P123" s="112">
        <f t="shared" si="82"/>
        <v>1002.1875</v>
      </c>
      <c r="Q123" s="112">
        <f t="shared" si="82"/>
        <v>106663.83759976306</v>
      </c>
      <c r="R123" s="112">
        <f t="shared" si="82"/>
        <v>187744.84824259163</v>
      </c>
      <c r="S123" s="9"/>
      <c r="T123" s="9"/>
      <c r="U123" s="30"/>
      <c r="V123" s="9"/>
      <c r="W123" s="9"/>
      <c r="X123" s="9"/>
      <c r="Y123" s="9"/>
      <c r="Z123" s="9"/>
      <c r="AA123" s="9"/>
      <c r="AB123" s="30"/>
      <c r="AC123" s="30"/>
    </row>
    <row r="124" spans="1:25" ht="14.25">
      <c r="A124" s="3"/>
      <c r="B124" s="3"/>
      <c r="C124" s="101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T124" s="10"/>
      <c r="U124" s="10"/>
      <c r="V124" s="10"/>
      <c r="W124" s="10"/>
      <c r="X124" s="10"/>
      <c r="Y124" s="10"/>
    </row>
    <row r="125" spans="1:25" ht="14.25">
      <c r="A125" s="3"/>
      <c r="B125" s="3"/>
      <c r="C125" s="101" t="s">
        <v>135</v>
      </c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T125" s="10"/>
      <c r="U125" s="10"/>
      <c r="V125" s="10"/>
      <c r="W125" s="10"/>
      <c r="X125" s="10"/>
      <c r="Y125" s="10"/>
    </row>
    <row r="126" spans="1:25" ht="14.25">
      <c r="A126" s="3"/>
      <c r="B126" s="3">
        <v>81</v>
      </c>
      <c r="C126" s="117" t="s">
        <v>285</v>
      </c>
      <c r="D126" s="113">
        <f aca="true" t="shared" si="83" ref="D126:D131">T126*$D$279/100</f>
        <v>0</v>
      </c>
      <c r="E126" s="113">
        <f aca="true" t="shared" si="84" ref="E126:E131">U126*$E$279/100</f>
        <v>1637.2045242611553</v>
      </c>
      <c r="F126" s="112">
        <f aca="true" t="shared" si="85" ref="F126:F131">D126+E126</f>
        <v>1637.2045242611553</v>
      </c>
      <c r="G126" s="112">
        <f aca="true" t="shared" si="86" ref="G126:G131">E126*$G$279/100</f>
        <v>198.17812609063355</v>
      </c>
      <c r="H126" s="112">
        <f aca="true" t="shared" si="87" ref="H126:H131">E126*$H$279/100</f>
        <v>185.6217747517805</v>
      </c>
      <c r="I126" s="112">
        <f aca="true" t="shared" si="88" ref="I126:I131">SUM(F126:H126)</f>
        <v>2021.0044251035692</v>
      </c>
      <c r="J126" s="112">
        <f aca="true" t="shared" si="89" ref="J126:J131">W126*$J$279/100</f>
        <v>335485.95584885194</v>
      </c>
      <c r="K126" s="112">
        <f aca="true" t="shared" si="90" ref="K126:K131">Q126*$K$279/100</f>
        <v>7697.332622791762</v>
      </c>
      <c r="L126" s="112">
        <f aca="true" t="shared" si="91" ref="L126:L131">Q126*$L$279/100</f>
        <v>11755.92618753651</v>
      </c>
      <c r="M126" s="112">
        <f aca="true" t="shared" si="92" ref="M126:M131">Q126*$M$279/100</f>
        <v>17353.986276839612</v>
      </c>
      <c r="N126" s="122">
        <v>39.2375</v>
      </c>
      <c r="O126" s="122">
        <v>240</v>
      </c>
      <c r="P126" s="122">
        <v>501.09375</v>
      </c>
      <c r="Q126" s="112">
        <f aca="true" t="shared" si="93" ref="Q126:Q131">X126*$Q$279/100</f>
        <v>39144.4836909727</v>
      </c>
      <c r="R126" s="112">
        <f aca="true" t="shared" si="94" ref="R126:R131">I126+J126+K126+L126+M126+N126+O126+P126</f>
        <v>375094.53661112336</v>
      </c>
      <c r="T126" s="10">
        <v>0</v>
      </c>
      <c r="U126" s="10">
        <v>1839.34263403611</v>
      </c>
      <c r="V126" s="10">
        <v>1839.34263403611</v>
      </c>
      <c r="W126" s="10">
        <v>77810.5215086792</v>
      </c>
      <c r="X126" s="10">
        <v>58467.4569828226</v>
      </c>
      <c r="Y126" s="10">
        <v>138117.321125538</v>
      </c>
    </row>
    <row r="127" spans="1:25" ht="14.25">
      <c r="A127" s="3"/>
      <c r="B127" s="3">
        <v>82</v>
      </c>
      <c r="C127" s="117" t="s">
        <v>286</v>
      </c>
      <c r="D127" s="113">
        <f t="shared" si="83"/>
        <v>0</v>
      </c>
      <c r="E127" s="113">
        <f t="shared" si="84"/>
        <v>2294.04705794677</v>
      </c>
      <c r="F127" s="112">
        <f t="shared" si="85"/>
        <v>2294.04705794677</v>
      </c>
      <c r="G127" s="112">
        <f t="shared" si="86"/>
        <v>277.68671560004964</v>
      </c>
      <c r="H127" s="112">
        <f t="shared" si="87"/>
        <v>260.09278617914174</v>
      </c>
      <c r="I127" s="112">
        <f t="shared" si="88"/>
        <v>2831.8265597259615</v>
      </c>
      <c r="J127" s="112">
        <f t="shared" si="89"/>
        <v>93522.23004253813</v>
      </c>
      <c r="K127" s="112">
        <f t="shared" si="90"/>
        <v>6961.0492108954795</v>
      </c>
      <c r="L127" s="112">
        <f t="shared" si="91"/>
        <v>10631.420613004004</v>
      </c>
      <c r="M127" s="112">
        <f t="shared" si="92"/>
        <v>15694.001857291625</v>
      </c>
      <c r="N127" s="122">
        <v>39.2375</v>
      </c>
      <c r="O127" s="122">
        <v>240</v>
      </c>
      <c r="P127" s="122">
        <v>501.09375</v>
      </c>
      <c r="Q127" s="112">
        <f t="shared" si="93"/>
        <v>35400.143226385306</v>
      </c>
      <c r="R127" s="112">
        <f t="shared" si="94"/>
        <v>130420.8595334552</v>
      </c>
      <c r="T127" s="10">
        <v>0</v>
      </c>
      <c r="U127" s="10">
        <v>2577.2824932003</v>
      </c>
      <c r="V127" s="10">
        <v>2577.2824932003</v>
      </c>
      <c r="W127" s="10">
        <v>21690.9631100716</v>
      </c>
      <c r="X127" s="10">
        <v>52874.7899094594</v>
      </c>
      <c r="Y127" s="10">
        <v>77143.0355127313</v>
      </c>
    </row>
    <row r="128" spans="1:25" ht="14.25">
      <c r="A128" s="3"/>
      <c r="B128" s="3">
        <v>83</v>
      </c>
      <c r="C128" s="117" t="s">
        <v>287</v>
      </c>
      <c r="D128" s="113">
        <f t="shared" si="83"/>
        <v>0</v>
      </c>
      <c r="E128" s="113">
        <f t="shared" si="84"/>
        <v>1637.2045242611553</v>
      </c>
      <c r="F128" s="112">
        <f t="shared" si="85"/>
        <v>1637.2045242611553</v>
      </c>
      <c r="G128" s="112">
        <f t="shared" si="86"/>
        <v>198.17812609063355</v>
      </c>
      <c r="H128" s="112">
        <f t="shared" si="87"/>
        <v>185.6217747517805</v>
      </c>
      <c r="I128" s="112">
        <f t="shared" si="88"/>
        <v>2021.0044251035692</v>
      </c>
      <c r="J128" s="112">
        <f t="shared" si="89"/>
        <v>40658.334681138</v>
      </c>
      <c r="K128" s="112">
        <f t="shared" si="90"/>
        <v>5648.964328246278</v>
      </c>
      <c r="L128" s="112">
        <f t="shared" si="91"/>
        <v>8627.509155867041</v>
      </c>
      <c r="M128" s="112">
        <f t="shared" si="92"/>
        <v>12735.846849137062</v>
      </c>
      <c r="N128" s="122">
        <v>39.2375</v>
      </c>
      <c r="O128" s="122">
        <v>240</v>
      </c>
      <c r="P128" s="122">
        <v>501.09375</v>
      </c>
      <c r="Q128" s="112">
        <f t="shared" si="93"/>
        <v>28727.586925783955</v>
      </c>
      <c r="R128" s="112">
        <f t="shared" si="94"/>
        <v>70471.99068949195</v>
      </c>
      <c r="T128" s="10">
        <v>0</v>
      </c>
      <c r="U128" s="10">
        <v>1839.34263403611</v>
      </c>
      <c r="V128" s="10">
        <v>1839.34263403611</v>
      </c>
      <c r="W128" s="10">
        <v>9430.04072170192</v>
      </c>
      <c r="X128" s="10">
        <v>42908.4456973159</v>
      </c>
      <c r="Y128" s="10">
        <v>54176.8290530539</v>
      </c>
    </row>
    <row r="129" spans="1:25" ht="14.25">
      <c r="A129" s="3"/>
      <c r="B129" s="3">
        <v>84</v>
      </c>
      <c r="C129" s="117" t="s">
        <v>288</v>
      </c>
      <c r="D129" s="113">
        <f t="shared" si="83"/>
        <v>0</v>
      </c>
      <c r="E129" s="113">
        <f t="shared" si="84"/>
        <v>1135.2591850864724</v>
      </c>
      <c r="F129" s="112">
        <f t="shared" si="85"/>
        <v>1135.2591850864724</v>
      </c>
      <c r="G129" s="112">
        <f t="shared" si="86"/>
        <v>137.41932336104944</v>
      </c>
      <c r="H129" s="112">
        <f t="shared" si="87"/>
        <v>128.71258392967715</v>
      </c>
      <c r="I129" s="112">
        <f t="shared" si="88"/>
        <v>1401.391092377199</v>
      </c>
      <c r="J129" s="112">
        <f t="shared" si="89"/>
        <v>4536.783875493728</v>
      </c>
      <c r="K129" s="112">
        <f t="shared" si="90"/>
        <v>8179.938556639743</v>
      </c>
      <c r="L129" s="112">
        <f t="shared" si="91"/>
        <v>12492.997068322515</v>
      </c>
      <c r="M129" s="112">
        <f t="shared" si="92"/>
        <v>18442.043291333237</v>
      </c>
      <c r="N129" s="122">
        <v>39.2375</v>
      </c>
      <c r="O129" s="122">
        <v>240</v>
      </c>
      <c r="P129" s="122">
        <v>501.09375</v>
      </c>
      <c r="Q129" s="112">
        <f t="shared" si="93"/>
        <v>41598.75727280307</v>
      </c>
      <c r="R129" s="112">
        <f t="shared" si="94"/>
        <v>45833.485134166425</v>
      </c>
      <c r="T129" s="10">
        <v>0</v>
      </c>
      <c r="U129" s="10">
        <v>1275.42441330168</v>
      </c>
      <c r="V129" s="10">
        <v>1275.42441330168</v>
      </c>
      <c r="W129" s="10">
        <v>1052.23337421426</v>
      </c>
      <c r="X129" s="10">
        <v>62133.2387620018</v>
      </c>
      <c r="Y129" s="10">
        <v>64459.8965495177</v>
      </c>
    </row>
    <row r="130" spans="1:25" ht="14.25">
      <c r="A130" s="3"/>
      <c r="B130" s="3">
        <v>85</v>
      </c>
      <c r="C130" s="117" t="s">
        <v>289</v>
      </c>
      <c r="D130" s="113">
        <f t="shared" si="83"/>
        <v>0</v>
      </c>
      <c r="E130" s="113">
        <f t="shared" si="84"/>
        <v>0</v>
      </c>
      <c r="F130" s="112">
        <f t="shared" si="85"/>
        <v>0</v>
      </c>
      <c r="G130" s="112">
        <f t="shared" si="86"/>
        <v>0</v>
      </c>
      <c r="H130" s="112">
        <f t="shared" si="87"/>
        <v>0</v>
      </c>
      <c r="I130" s="112">
        <f t="shared" si="88"/>
        <v>0</v>
      </c>
      <c r="J130" s="112">
        <f t="shared" si="89"/>
        <v>522.8832764606358</v>
      </c>
      <c r="K130" s="112">
        <f t="shared" si="90"/>
        <v>399.62975811919983</v>
      </c>
      <c r="L130" s="112">
        <f t="shared" si="91"/>
        <v>610.3436305820507</v>
      </c>
      <c r="M130" s="112">
        <f t="shared" si="92"/>
        <v>900.9834546687415</v>
      </c>
      <c r="N130" s="122">
        <v>39.2375</v>
      </c>
      <c r="O130" s="122">
        <v>240</v>
      </c>
      <c r="P130" s="122">
        <v>501.09375</v>
      </c>
      <c r="Q130" s="112">
        <f t="shared" si="93"/>
        <v>2032.3014888046607</v>
      </c>
      <c r="R130" s="112">
        <f t="shared" si="94"/>
        <v>3214.171369830628</v>
      </c>
      <c r="T130" s="10">
        <v>0</v>
      </c>
      <c r="U130" s="10">
        <v>0</v>
      </c>
      <c r="V130" s="10">
        <v>0</v>
      </c>
      <c r="W130" s="10">
        <v>121.274288</v>
      </c>
      <c r="X130" s="10">
        <v>3035.51072</v>
      </c>
      <c r="Y130" s="10">
        <v>3156.785008</v>
      </c>
    </row>
    <row r="131" spans="1:25" ht="14.25">
      <c r="A131" s="3"/>
      <c r="B131" s="3">
        <v>86</v>
      </c>
      <c r="C131" s="117" t="s">
        <v>290</v>
      </c>
      <c r="D131" s="113">
        <f t="shared" si="83"/>
        <v>0</v>
      </c>
      <c r="E131" s="113">
        <f t="shared" si="84"/>
        <v>1619.5580084307906</v>
      </c>
      <c r="F131" s="112">
        <f t="shared" si="85"/>
        <v>1619.5580084307906</v>
      </c>
      <c r="G131" s="112">
        <f t="shared" si="86"/>
        <v>196.04207443217103</v>
      </c>
      <c r="H131" s="112">
        <f t="shared" si="87"/>
        <v>183.6210610119404</v>
      </c>
      <c r="I131" s="112">
        <f t="shared" si="88"/>
        <v>1999.221143874902</v>
      </c>
      <c r="J131" s="112">
        <f t="shared" si="89"/>
        <v>3632.881504361096</v>
      </c>
      <c r="K131" s="112">
        <f t="shared" si="90"/>
        <v>3166.328033932118</v>
      </c>
      <c r="L131" s="112">
        <f t="shared" si="91"/>
        <v>4835.846451823598</v>
      </c>
      <c r="M131" s="112">
        <f t="shared" si="92"/>
        <v>7138.630476501503</v>
      </c>
      <c r="N131" s="122">
        <v>39.2375</v>
      </c>
      <c r="O131" s="122">
        <v>240</v>
      </c>
      <c r="P131" s="122">
        <v>501.09375</v>
      </c>
      <c r="Q131" s="112">
        <f t="shared" si="93"/>
        <v>16102.23725002179</v>
      </c>
      <c r="R131" s="112">
        <f t="shared" si="94"/>
        <v>21553.238860493217</v>
      </c>
      <c r="T131" s="10">
        <v>0</v>
      </c>
      <c r="U131" s="10">
        <v>1819.51738408841</v>
      </c>
      <c r="V131" s="10">
        <v>1819.51738408841</v>
      </c>
      <c r="W131" s="10">
        <v>842.587892295937</v>
      </c>
      <c r="X131" s="10">
        <v>24050.8182755765</v>
      </c>
      <c r="Y131" s="10">
        <v>26713.9235519609</v>
      </c>
    </row>
    <row r="132" spans="1:25" ht="14.25">
      <c r="A132" s="3">
        <v>6</v>
      </c>
      <c r="B132" s="3"/>
      <c r="C132" s="101" t="s">
        <v>78</v>
      </c>
      <c r="D132" s="112">
        <f aca="true" t="shared" si="95" ref="D132:R132">SUM(D126:D131)</f>
        <v>0</v>
      </c>
      <c r="E132" s="112">
        <f t="shared" si="95"/>
        <v>8323.273299986344</v>
      </c>
      <c r="F132" s="112">
        <f t="shared" si="95"/>
        <v>8323.273299986344</v>
      </c>
      <c r="G132" s="112">
        <f t="shared" si="95"/>
        <v>1007.5043655745372</v>
      </c>
      <c r="H132" s="112">
        <f t="shared" si="95"/>
        <v>943.6699806243203</v>
      </c>
      <c r="I132" s="112">
        <f t="shared" si="95"/>
        <v>10274.447646185201</v>
      </c>
      <c r="J132" s="112">
        <f t="shared" si="95"/>
        <v>478359.06922884355</v>
      </c>
      <c r="K132" s="112">
        <f t="shared" si="95"/>
        <v>32053.24251062458</v>
      </c>
      <c r="L132" s="112">
        <f t="shared" si="95"/>
        <v>48954.043107135716</v>
      </c>
      <c r="M132" s="112">
        <f t="shared" si="95"/>
        <v>72265.49220577178</v>
      </c>
      <c r="N132" s="112">
        <f t="shared" si="95"/>
        <v>235.425</v>
      </c>
      <c r="O132" s="112">
        <f t="shared" si="95"/>
        <v>1440</v>
      </c>
      <c r="P132" s="112">
        <f t="shared" si="95"/>
        <v>3006.5625</v>
      </c>
      <c r="Q132" s="112">
        <f t="shared" si="95"/>
        <v>163005.5098547715</v>
      </c>
      <c r="R132" s="112">
        <f t="shared" si="95"/>
        <v>646588.2821985608</v>
      </c>
      <c r="T132" s="10">
        <v>0</v>
      </c>
      <c r="U132" s="10">
        <v>9349.90955866261</v>
      </c>
      <c r="V132" s="10">
        <v>9349.90955866261</v>
      </c>
      <c r="W132" s="10">
        <v>110947.620894963</v>
      </c>
      <c r="X132" s="10">
        <v>243470.260347176</v>
      </c>
      <c r="Y132" s="10">
        <v>363767.790800802</v>
      </c>
    </row>
    <row r="133" spans="1:25" ht="14.25">
      <c r="A133" s="3"/>
      <c r="B133" s="3"/>
      <c r="C133" s="101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T133" s="10"/>
      <c r="U133" s="10"/>
      <c r="V133" s="10"/>
      <c r="W133" s="10"/>
      <c r="X133" s="10"/>
      <c r="Y133" s="10"/>
    </row>
    <row r="134" spans="1:25" ht="14.25">
      <c r="A134" s="3"/>
      <c r="B134" s="3"/>
      <c r="C134" s="101" t="s">
        <v>141</v>
      </c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T134" s="10"/>
      <c r="U134" s="10"/>
      <c r="V134" s="10"/>
      <c r="W134" s="10"/>
      <c r="X134" s="10"/>
      <c r="Y134" s="10"/>
    </row>
    <row r="135" spans="1:25" ht="14.25">
      <c r="A135" s="3">
        <v>1</v>
      </c>
      <c r="B135" s="3">
        <v>87</v>
      </c>
      <c r="C135" s="117" t="s">
        <v>283</v>
      </c>
      <c r="D135" s="113">
        <f>T135*$D$279/100</f>
        <v>0</v>
      </c>
      <c r="E135" s="113">
        <f>U135*$E$279/100</f>
        <v>7834.5032899969465</v>
      </c>
      <c r="F135" s="112">
        <f>D135+E135</f>
        <v>7834.5032899969465</v>
      </c>
      <c r="G135" s="112">
        <f>E135*$G$279/100</f>
        <v>948.3403923301364</v>
      </c>
      <c r="H135" s="112">
        <f>E135*$H$279/100</f>
        <v>888.254572619251</v>
      </c>
      <c r="I135" s="112">
        <f>SUM(F135:H135)</f>
        <v>9671.098254946333</v>
      </c>
      <c r="J135" s="112">
        <f>W135*$J$279/100</f>
        <v>7772.408923751968</v>
      </c>
      <c r="K135" s="112">
        <f>Q135*$K$279/100</f>
        <v>8932.85021785931</v>
      </c>
      <c r="L135" s="112">
        <f>Q135*$L$279/100</f>
        <v>13642.898514548764</v>
      </c>
      <c r="M135" s="112">
        <f>Q135*$M$279/100</f>
        <v>20139.516854810077</v>
      </c>
      <c r="N135" s="122">
        <v>39.2375</v>
      </c>
      <c r="O135" s="122">
        <v>240</v>
      </c>
      <c r="P135" s="122">
        <v>501.09375</v>
      </c>
      <c r="Q135" s="112">
        <f>X135*$Q$279/100</f>
        <v>45427.66004830287</v>
      </c>
      <c r="R135" s="112">
        <f>I135+J135+K135+L135+M135+N135+O135+P135</f>
        <v>60939.104015916455</v>
      </c>
      <c r="T135" s="10">
        <v>0</v>
      </c>
      <c r="U135" s="10">
        <v>8801.79336438782</v>
      </c>
      <c r="V135" s="10">
        <v>8801.79336438782</v>
      </c>
      <c r="W135" s="10">
        <v>1802.68408018941</v>
      </c>
      <c r="X135" s="10">
        <v>67852.2108165386</v>
      </c>
      <c r="Y135" s="10">
        <v>78456.6882611159</v>
      </c>
    </row>
    <row r="136" spans="1:25" ht="14.25">
      <c r="A136" s="3"/>
      <c r="B136" s="3"/>
      <c r="C136" s="101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T136" s="10"/>
      <c r="U136" s="10"/>
      <c r="V136" s="10"/>
      <c r="W136" s="10"/>
      <c r="X136" s="10"/>
      <c r="Y136" s="10"/>
    </row>
    <row r="137" spans="1:25" ht="14.25">
      <c r="A137" s="3"/>
      <c r="B137" s="3"/>
      <c r="C137" s="101" t="s">
        <v>142</v>
      </c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T137" s="10"/>
      <c r="U137" s="10"/>
      <c r="V137" s="10"/>
      <c r="W137" s="10"/>
      <c r="X137" s="10"/>
      <c r="Y137" s="10"/>
    </row>
    <row r="138" spans="1:25" ht="14.25">
      <c r="A138" s="3"/>
      <c r="B138" s="3">
        <v>88</v>
      </c>
      <c r="C138" s="117" t="s">
        <v>291</v>
      </c>
      <c r="D138" s="113">
        <f aca="true" t="shared" si="96" ref="D138:D143">T138*$D$279/100</f>
        <v>0</v>
      </c>
      <c r="E138" s="113">
        <f aca="true" t="shared" si="97" ref="E138:E143">U138*$E$279/100</f>
        <v>8235.04072083453</v>
      </c>
      <c r="F138" s="112">
        <f aca="true" t="shared" si="98" ref="F138:F143">D138+E138</f>
        <v>8235.04072083453</v>
      </c>
      <c r="G138" s="112">
        <f aca="true" t="shared" si="99" ref="G138:G143">E138*$G$279/100</f>
        <v>996.8241072822258</v>
      </c>
      <c r="H138" s="112">
        <f aca="true" t="shared" si="100" ref="H138:H143">E138*$H$279/100</f>
        <v>933.6664119251209</v>
      </c>
      <c r="I138" s="112">
        <f aca="true" t="shared" si="101" ref="I138:I143">SUM(F138:H138)</f>
        <v>10165.531240041877</v>
      </c>
      <c r="J138" s="112">
        <f aca="true" t="shared" si="102" ref="J138:J143">W138*$J$279/100</f>
        <v>10363.211898335914</v>
      </c>
      <c r="K138" s="112">
        <f aca="true" t="shared" si="103" ref="K138:K143">Q138*$K$279/100</f>
        <v>10518.334455661192</v>
      </c>
      <c r="L138" s="112">
        <f aca="true" t="shared" si="104" ref="L138:L143">Q138*$L$279/100</f>
        <v>16064.365350464366</v>
      </c>
      <c r="M138" s="112">
        <f aca="true" t="shared" si="105" ref="M138:M143">Q138*$M$279/100</f>
        <v>23714.063136399778</v>
      </c>
      <c r="N138" s="122">
        <v>39.2375</v>
      </c>
      <c r="O138" s="122">
        <v>240</v>
      </c>
      <c r="P138" s="122">
        <v>501.09375</v>
      </c>
      <c r="Q138" s="112">
        <f aca="true" t="shared" si="106" ref="Q138:Q143">X138*$Q$279/100</f>
        <v>53490.57806553418</v>
      </c>
      <c r="R138" s="112">
        <f aca="true" t="shared" si="107" ref="R138:R143">I138+J138+K138+L138+M138+N138+O138+P138</f>
        <v>71605.83733090313</v>
      </c>
      <c r="T138" s="10">
        <v>0</v>
      </c>
      <c r="U138" s="10">
        <v>9251.78330892412</v>
      </c>
      <c r="V138" s="10">
        <v>9251.78330892412</v>
      </c>
      <c r="W138" s="10">
        <v>2403.57877358587</v>
      </c>
      <c r="X138" s="10">
        <v>79895.2439051884</v>
      </c>
      <c r="Y138" s="10">
        <v>91550.6059876984</v>
      </c>
    </row>
    <row r="139" spans="1:25" ht="14.25">
      <c r="A139" s="3"/>
      <c r="B139" s="3"/>
      <c r="C139" s="117" t="s">
        <v>292</v>
      </c>
      <c r="D139" s="113">
        <f t="shared" si="96"/>
        <v>0</v>
      </c>
      <c r="E139" s="113">
        <f t="shared" si="97"/>
        <v>0</v>
      </c>
      <c r="F139" s="112">
        <f t="shared" si="98"/>
        <v>0</v>
      </c>
      <c r="G139" s="112">
        <f t="shared" si="99"/>
        <v>0</v>
      </c>
      <c r="H139" s="112">
        <f t="shared" si="100"/>
        <v>0</v>
      </c>
      <c r="I139" s="112">
        <f t="shared" si="101"/>
        <v>0</v>
      </c>
      <c r="J139" s="112">
        <f t="shared" si="102"/>
        <v>522.8832764606358</v>
      </c>
      <c r="K139" s="112">
        <f t="shared" si="103"/>
        <v>399.62975811919983</v>
      </c>
      <c r="L139" s="112">
        <f t="shared" si="104"/>
        <v>610.3436305820507</v>
      </c>
      <c r="M139" s="112">
        <f t="shared" si="105"/>
        <v>900.9834546687415</v>
      </c>
      <c r="N139" s="122">
        <v>39.2375</v>
      </c>
      <c r="O139" s="122">
        <v>240</v>
      </c>
      <c r="P139" s="122">
        <v>501.09375</v>
      </c>
      <c r="Q139" s="112">
        <f t="shared" si="106"/>
        <v>2032.3014888046607</v>
      </c>
      <c r="R139" s="112">
        <f t="shared" si="107"/>
        <v>3214.171369830628</v>
      </c>
      <c r="T139" s="10">
        <v>0</v>
      </c>
      <c r="U139" s="10">
        <v>0</v>
      </c>
      <c r="V139" s="10">
        <v>0</v>
      </c>
      <c r="W139" s="10">
        <v>121.274288</v>
      </c>
      <c r="X139" s="10">
        <v>3035.51072</v>
      </c>
      <c r="Y139" s="10">
        <v>3156.785008</v>
      </c>
    </row>
    <row r="140" spans="1:25" ht="14.25">
      <c r="A140" s="3"/>
      <c r="B140" s="3">
        <v>89</v>
      </c>
      <c r="C140" s="117" t="s">
        <v>293</v>
      </c>
      <c r="D140" s="113">
        <f t="shared" si="96"/>
        <v>132.40732337319898</v>
      </c>
      <c r="E140" s="113">
        <f t="shared" si="97"/>
        <v>3605.771401336835</v>
      </c>
      <c r="F140" s="112">
        <f t="shared" si="98"/>
        <v>3738.1787247100337</v>
      </c>
      <c r="G140" s="112">
        <f t="shared" si="99"/>
        <v>436.46655554571765</v>
      </c>
      <c r="H140" s="112">
        <f t="shared" si="100"/>
        <v>408.8125075072138</v>
      </c>
      <c r="I140" s="112">
        <f t="shared" si="101"/>
        <v>4583.457787762965</v>
      </c>
      <c r="J140" s="112">
        <f t="shared" si="102"/>
        <v>15349.068289424236</v>
      </c>
      <c r="K140" s="112">
        <f t="shared" si="103"/>
        <v>5213.92292153234</v>
      </c>
      <c r="L140" s="112">
        <f t="shared" si="104"/>
        <v>7963.082280158484</v>
      </c>
      <c r="M140" s="112">
        <f t="shared" si="105"/>
        <v>11755.026223091094</v>
      </c>
      <c r="N140" s="122">
        <v>39.2375</v>
      </c>
      <c r="O140" s="122">
        <v>240</v>
      </c>
      <c r="P140" s="122">
        <v>501.09375</v>
      </c>
      <c r="Q140" s="112">
        <f t="shared" si="106"/>
        <v>26515.200884470454</v>
      </c>
      <c r="R140" s="112">
        <f t="shared" si="107"/>
        <v>45644.88875196913</v>
      </c>
      <c r="T140" s="10">
        <v>147.110040201487</v>
      </c>
      <c r="U140" s="10">
        <v>4050.95940597892</v>
      </c>
      <c r="V140" s="10">
        <v>4198.06944618041</v>
      </c>
      <c r="W140" s="10">
        <v>3559.96722798886</v>
      </c>
      <c r="X140" s="10">
        <v>39603.9549107961</v>
      </c>
      <c r="Y140" s="10">
        <v>47361.9915849653</v>
      </c>
    </row>
    <row r="141" spans="1:25" ht="14.25">
      <c r="A141" s="3"/>
      <c r="B141" s="3">
        <v>90</v>
      </c>
      <c r="C141" s="117" t="s">
        <v>294</v>
      </c>
      <c r="D141" s="113">
        <f t="shared" si="96"/>
        <v>0</v>
      </c>
      <c r="E141" s="113">
        <f t="shared" si="97"/>
        <v>0</v>
      </c>
      <c r="F141" s="112">
        <f t="shared" si="98"/>
        <v>0</v>
      </c>
      <c r="G141" s="112">
        <f t="shared" si="99"/>
        <v>0</v>
      </c>
      <c r="H141" s="112">
        <f t="shared" si="100"/>
        <v>0</v>
      </c>
      <c r="I141" s="112">
        <f t="shared" si="101"/>
        <v>0</v>
      </c>
      <c r="J141" s="112">
        <f t="shared" si="102"/>
        <v>522.8832764606358</v>
      </c>
      <c r="K141" s="112">
        <f t="shared" si="103"/>
        <v>399.62975811919983</v>
      </c>
      <c r="L141" s="112">
        <f t="shared" si="104"/>
        <v>610.3436305820507</v>
      </c>
      <c r="M141" s="112">
        <f t="shared" si="105"/>
        <v>900.9834546687415</v>
      </c>
      <c r="N141" s="122">
        <v>39.2375</v>
      </c>
      <c r="O141" s="122">
        <v>240</v>
      </c>
      <c r="P141" s="122">
        <v>501.09375</v>
      </c>
      <c r="Q141" s="112">
        <f t="shared" si="106"/>
        <v>2032.3014888046607</v>
      </c>
      <c r="R141" s="112">
        <f t="shared" si="107"/>
        <v>3214.171369830628</v>
      </c>
      <c r="T141" s="10">
        <v>0</v>
      </c>
      <c r="U141" s="10">
        <v>0</v>
      </c>
      <c r="V141" s="10">
        <v>0</v>
      </c>
      <c r="W141" s="10">
        <v>121.274288</v>
      </c>
      <c r="X141" s="10">
        <v>3035.51072</v>
      </c>
      <c r="Y141" s="10">
        <v>3156.785008</v>
      </c>
    </row>
    <row r="142" spans="1:25" ht="14.25">
      <c r="A142" s="3"/>
      <c r="B142" s="3">
        <v>91</v>
      </c>
      <c r="C142" s="117" t="s">
        <v>295</v>
      </c>
      <c r="D142" s="113">
        <f t="shared" si="96"/>
        <v>854.2407959561235</v>
      </c>
      <c r="E142" s="113">
        <f t="shared" si="97"/>
        <v>1862.687782093528</v>
      </c>
      <c r="F142" s="112">
        <f t="shared" si="98"/>
        <v>2716.9285780496516</v>
      </c>
      <c r="G142" s="112">
        <f t="shared" si="99"/>
        <v>225.4721195043134</v>
      </c>
      <c r="H142" s="112">
        <f t="shared" si="100"/>
        <v>211.18645031639676</v>
      </c>
      <c r="I142" s="112">
        <f t="shared" si="101"/>
        <v>3153.5871478703616</v>
      </c>
      <c r="J142" s="112">
        <f t="shared" si="102"/>
        <v>2355.7866952993472</v>
      </c>
      <c r="K142" s="112">
        <f t="shared" si="103"/>
        <v>2561.247915551469</v>
      </c>
      <c r="L142" s="112">
        <f t="shared" si="104"/>
        <v>3911.72408920588</v>
      </c>
      <c r="M142" s="112">
        <f t="shared" si="105"/>
        <v>5774.449845970584</v>
      </c>
      <c r="N142" s="122">
        <v>39.2375</v>
      </c>
      <c r="O142" s="122">
        <v>240</v>
      </c>
      <c r="P142" s="122">
        <v>501.09375</v>
      </c>
      <c r="Q142" s="112">
        <f t="shared" si="106"/>
        <v>13025.125997800422</v>
      </c>
      <c r="R142" s="112">
        <f t="shared" si="107"/>
        <v>18537.12694389764</v>
      </c>
      <c r="T142" s="10">
        <v>949.097033557982</v>
      </c>
      <c r="U142" s="10">
        <v>2092.66527225665</v>
      </c>
      <c r="V142" s="10">
        <v>3041.76230581463</v>
      </c>
      <c r="W142" s="10">
        <v>546.386482440521</v>
      </c>
      <c r="X142" s="10">
        <v>19454.746165112</v>
      </c>
      <c r="Y142" s="10">
        <v>23042.8949533671</v>
      </c>
    </row>
    <row r="143" spans="1:25" ht="14.25">
      <c r="A143" s="3"/>
      <c r="B143" s="3">
        <v>92</v>
      </c>
      <c r="C143" s="117" t="s">
        <v>296</v>
      </c>
      <c r="D143" s="113">
        <f t="shared" si="96"/>
        <v>0</v>
      </c>
      <c r="E143" s="113">
        <f t="shared" si="97"/>
        <v>0</v>
      </c>
      <c r="F143" s="112">
        <f t="shared" si="98"/>
        <v>0</v>
      </c>
      <c r="G143" s="112">
        <f t="shared" si="99"/>
        <v>0</v>
      </c>
      <c r="H143" s="112">
        <f t="shared" si="100"/>
        <v>0</v>
      </c>
      <c r="I143" s="112">
        <f t="shared" si="101"/>
        <v>0</v>
      </c>
      <c r="J143" s="112">
        <f t="shared" si="102"/>
        <v>522.8832764606358</v>
      </c>
      <c r="K143" s="112">
        <f t="shared" si="103"/>
        <v>199.81487905959992</v>
      </c>
      <c r="L143" s="112">
        <f t="shared" si="104"/>
        <v>305.1718152910253</v>
      </c>
      <c r="M143" s="112">
        <f t="shared" si="105"/>
        <v>450.49172733437075</v>
      </c>
      <c r="N143" s="122">
        <v>39.2375</v>
      </c>
      <c r="O143" s="122">
        <v>240</v>
      </c>
      <c r="P143" s="122">
        <v>501.09375</v>
      </c>
      <c r="Q143" s="112">
        <f t="shared" si="106"/>
        <v>1016.1507444023304</v>
      </c>
      <c r="R143" s="112">
        <f t="shared" si="107"/>
        <v>2258.692948145632</v>
      </c>
      <c r="T143" s="10">
        <v>0</v>
      </c>
      <c r="U143" s="10">
        <v>0</v>
      </c>
      <c r="V143" s="10">
        <v>0</v>
      </c>
      <c r="W143" s="10">
        <v>121.274288</v>
      </c>
      <c r="X143" s="10">
        <v>1517.75536</v>
      </c>
      <c r="Y143" s="10">
        <v>1639.029648</v>
      </c>
    </row>
    <row r="144" spans="1:25" ht="14.25">
      <c r="A144" s="3">
        <v>5</v>
      </c>
      <c r="B144" s="3"/>
      <c r="C144" s="101" t="s">
        <v>78</v>
      </c>
      <c r="D144" s="112">
        <f aca="true" t="shared" si="108" ref="D144:R144">SUM(D138:D143)</f>
        <v>986.6481193293225</v>
      </c>
      <c r="E144" s="112">
        <f t="shared" si="108"/>
        <v>13703.499904264892</v>
      </c>
      <c r="F144" s="112">
        <f t="shared" si="108"/>
        <v>14690.148023594214</v>
      </c>
      <c r="G144" s="112">
        <f t="shared" si="108"/>
        <v>1658.7627823322568</v>
      </c>
      <c r="H144" s="112">
        <f t="shared" si="108"/>
        <v>1553.6653697487313</v>
      </c>
      <c r="I144" s="112">
        <f t="shared" si="108"/>
        <v>17902.576175675204</v>
      </c>
      <c r="J144" s="112">
        <f t="shared" si="108"/>
        <v>29636.7167124414</v>
      </c>
      <c r="K144" s="112">
        <f t="shared" si="108"/>
        <v>19292.579688043003</v>
      </c>
      <c r="L144" s="112">
        <f t="shared" si="108"/>
        <v>29465.030796283856</v>
      </c>
      <c r="M144" s="112">
        <f t="shared" si="108"/>
        <v>43495.99784213331</v>
      </c>
      <c r="N144" s="112">
        <f t="shared" si="108"/>
        <v>235.425</v>
      </c>
      <c r="O144" s="112">
        <f t="shared" si="108"/>
        <v>1440</v>
      </c>
      <c r="P144" s="112">
        <f t="shared" si="108"/>
        <v>3006.5625</v>
      </c>
      <c r="Q144" s="112">
        <f t="shared" si="108"/>
        <v>98111.65866981671</v>
      </c>
      <c r="R144" s="112">
        <f t="shared" si="108"/>
        <v>144474.88871457678</v>
      </c>
      <c r="T144" s="10">
        <v>1096.20707375947</v>
      </c>
      <c r="U144" s="10">
        <v>15396.4079871597</v>
      </c>
      <c r="V144" s="10">
        <v>16491.6150609192</v>
      </c>
      <c r="W144" s="10">
        <v>6872.75534801525</v>
      </c>
      <c r="X144" s="10">
        <v>146543.721781096</v>
      </c>
      <c r="Y144" s="10">
        <v>169909.092190031</v>
      </c>
    </row>
    <row r="145" spans="1:25" ht="14.25">
      <c r="A145" s="3"/>
      <c r="B145" s="3"/>
      <c r="C145" s="101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T145" s="10"/>
      <c r="U145" s="10"/>
      <c r="V145" s="10"/>
      <c r="W145" s="10"/>
      <c r="X145" s="10"/>
      <c r="Y145" s="10"/>
    </row>
    <row r="146" spans="1:25" ht="14.25">
      <c r="A146" s="3"/>
      <c r="B146" s="3"/>
      <c r="C146" s="117" t="s">
        <v>146</v>
      </c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T146" s="10"/>
      <c r="U146" s="10"/>
      <c r="V146" s="10"/>
      <c r="W146" s="10"/>
      <c r="X146" s="10"/>
      <c r="Y146" s="10"/>
    </row>
    <row r="147" spans="1:25" ht="14.25">
      <c r="A147" s="3"/>
      <c r="B147" s="3">
        <v>93</v>
      </c>
      <c r="C147" s="117" t="s">
        <v>283</v>
      </c>
      <c r="D147" s="113">
        <f>T147*$D$279/100</f>
        <v>0</v>
      </c>
      <c r="E147" s="113">
        <f>U147*$E$279/100</f>
        <v>0</v>
      </c>
      <c r="F147" s="112">
        <f>D147+E147</f>
        <v>0</v>
      </c>
      <c r="G147" s="112">
        <f>E147*$G$279/100</f>
        <v>0</v>
      </c>
      <c r="H147" s="112">
        <f>E147*$H$279/100</f>
        <v>0</v>
      </c>
      <c r="I147" s="112">
        <f>SUM(F147:H147)</f>
        <v>0</v>
      </c>
      <c r="J147" s="112">
        <f>W147*$J$279/100</f>
        <v>15113.017351739887</v>
      </c>
      <c r="K147" s="112">
        <f>Q147*$K$279/100</f>
        <v>5877.892784045965</v>
      </c>
      <c r="L147" s="112">
        <f>Q147*$L$279/100</f>
        <v>8977.145342906564</v>
      </c>
      <c r="M147" s="112">
        <f>Q147*$M$279/100</f>
        <v>13251.976458576357</v>
      </c>
      <c r="N147" s="122">
        <v>39.2375</v>
      </c>
      <c r="O147" s="122">
        <v>240</v>
      </c>
      <c r="P147" s="122">
        <v>501.09375</v>
      </c>
      <c r="Q147" s="112">
        <f>X147*$Q$279/100</f>
        <v>29891.793624857357</v>
      </c>
      <c r="R147" s="112">
        <f>I147+J147+K147+L147+M147+N147+O147+P147</f>
        <v>44000.36318726878</v>
      </c>
      <c r="T147" s="10">
        <v>0</v>
      </c>
      <c r="U147" s="10">
        <v>0</v>
      </c>
      <c r="V147" s="10">
        <v>0</v>
      </c>
      <c r="W147" s="10">
        <v>3505.21904481273</v>
      </c>
      <c r="X147" s="10">
        <v>44647.3421823112</v>
      </c>
      <c r="Y147" s="10">
        <v>48151.5612271239</v>
      </c>
    </row>
    <row r="148" spans="1:25" ht="14.25">
      <c r="A148" s="3"/>
      <c r="B148" s="3">
        <v>94</v>
      </c>
      <c r="C148" s="117" t="s">
        <v>273</v>
      </c>
      <c r="D148" s="113">
        <f>T148*$D$279/100</f>
        <v>0</v>
      </c>
      <c r="E148" s="113">
        <f>U148*$E$279/100</f>
        <v>0</v>
      </c>
      <c r="F148" s="112">
        <f>D148+E148</f>
        <v>0</v>
      </c>
      <c r="G148" s="112">
        <f>E148*$G$279/100</f>
        <v>0</v>
      </c>
      <c r="H148" s="112">
        <f>E148*$H$279/100</f>
        <v>0</v>
      </c>
      <c r="I148" s="112">
        <f>SUM(F148:H148)</f>
        <v>0</v>
      </c>
      <c r="J148" s="112">
        <f>W148*$J$279/100</f>
        <v>522.8832764606358</v>
      </c>
      <c r="K148" s="112">
        <f>Q148*$K$279/100</f>
        <v>399.62975811919983</v>
      </c>
      <c r="L148" s="112">
        <f>Q148*$L$279/100</f>
        <v>610.3436305820507</v>
      </c>
      <c r="M148" s="112">
        <f>Q148*$M$279/100</f>
        <v>900.9834546687415</v>
      </c>
      <c r="N148" s="122">
        <v>39.2375</v>
      </c>
      <c r="O148" s="122">
        <v>240</v>
      </c>
      <c r="P148" s="122">
        <v>501.09375</v>
      </c>
      <c r="Q148" s="112">
        <f>X148*$Q$279/100</f>
        <v>2032.3014888046607</v>
      </c>
      <c r="R148" s="112">
        <f>I148+J148+K148+L148+M148+N148+O148+P148</f>
        <v>3214.171369830628</v>
      </c>
      <c r="T148" s="10">
        <v>0</v>
      </c>
      <c r="U148" s="10">
        <v>0</v>
      </c>
      <c r="V148" s="10">
        <v>0</v>
      </c>
      <c r="W148" s="10">
        <v>121.274288</v>
      </c>
      <c r="X148" s="10">
        <v>3035.51072</v>
      </c>
      <c r="Y148" s="10">
        <v>3156.785008</v>
      </c>
    </row>
    <row r="149" spans="1:25" ht="14.25">
      <c r="A149" s="3">
        <v>2</v>
      </c>
      <c r="B149" s="3"/>
      <c r="C149" s="101" t="s">
        <v>78</v>
      </c>
      <c r="D149" s="112">
        <f aca="true" t="shared" si="109" ref="D149:R149">SUM(D147:D148)</f>
        <v>0</v>
      </c>
      <c r="E149" s="112">
        <f t="shared" si="109"/>
        <v>0</v>
      </c>
      <c r="F149" s="112">
        <f t="shared" si="109"/>
        <v>0</v>
      </c>
      <c r="G149" s="112">
        <f t="shared" si="109"/>
        <v>0</v>
      </c>
      <c r="H149" s="112">
        <f t="shared" si="109"/>
        <v>0</v>
      </c>
      <c r="I149" s="112">
        <f t="shared" si="109"/>
        <v>0</v>
      </c>
      <c r="J149" s="112">
        <f t="shared" si="109"/>
        <v>15635.900628200523</v>
      </c>
      <c r="K149" s="112">
        <f t="shared" si="109"/>
        <v>6277.522542165165</v>
      </c>
      <c r="L149" s="112">
        <f t="shared" si="109"/>
        <v>9587.488973488615</v>
      </c>
      <c r="M149" s="112">
        <f t="shared" si="109"/>
        <v>14152.959913245099</v>
      </c>
      <c r="N149" s="112">
        <f t="shared" si="109"/>
        <v>78.475</v>
      </c>
      <c r="O149" s="112">
        <f t="shared" si="109"/>
        <v>480</v>
      </c>
      <c r="P149" s="112">
        <f t="shared" si="109"/>
        <v>1002.1875</v>
      </c>
      <c r="Q149" s="112">
        <f t="shared" si="109"/>
        <v>31924.095113662017</v>
      </c>
      <c r="R149" s="112">
        <f t="shared" si="109"/>
        <v>47214.5345570994</v>
      </c>
      <c r="T149" s="10">
        <v>0</v>
      </c>
      <c r="U149" s="10">
        <v>0</v>
      </c>
      <c r="V149" s="10">
        <v>0</v>
      </c>
      <c r="W149" s="10">
        <v>3626.49333281273</v>
      </c>
      <c r="X149" s="10">
        <v>47682.8529023112</v>
      </c>
      <c r="Y149" s="10">
        <v>51309.3462351239</v>
      </c>
    </row>
    <row r="150" spans="1:25" ht="14.25">
      <c r="A150" s="3"/>
      <c r="B150" s="3"/>
      <c r="C150" s="101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T150" s="10"/>
      <c r="U150" s="10"/>
      <c r="V150" s="10"/>
      <c r="W150" s="10"/>
      <c r="X150" s="10"/>
      <c r="Y150" s="10"/>
    </row>
    <row r="151" spans="1:25" ht="14.25">
      <c r="A151" s="3"/>
      <c r="B151" s="3"/>
      <c r="C151" s="117" t="s">
        <v>148</v>
      </c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T151" s="10"/>
      <c r="U151" s="10"/>
      <c r="V151" s="10"/>
      <c r="W151" s="10"/>
      <c r="X151" s="10"/>
      <c r="Y151" s="10"/>
    </row>
    <row r="152" spans="1:25" ht="14.25">
      <c r="A152" s="3"/>
      <c r="B152" s="3">
        <v>95</v>
      </c>
      <c r="C152" s="117" t="s">
        <v>297</v>
      </c>
      <c r="D152" s="113">
        <f aca="true" t="shared" si="110" ref="D152:D158">T152*$D$279/100</f>
        <v>0</v>
      </c>
      <c r="E152" s="113">
        <f aca="true" t="shared" si="111" ref="E152:E158">U152*$E$279/100</f>
        <v>0</v>
      </c>
      <c r="F152" s="112">
        <f aca="true" t="shared" si="112" ref="F152:F158">D152+E152</f>
        <v>0</v>
      </c>
      <c r="G152" s="112">
        <f aca="true" t="shared" si="113" ref="G152:G158">E152*$G$279/100</f>
        <v>0</v>
      </c>
      <c r="H152" s="112">
        <f aca="true" t="shared" si="114" ref="H152:H158">E152*$H$279/100</f>
        <v>0</v>
      </c>
      <c r="I152" s="112">
        <f aca="true" t="shared" si="115" ref="I152:I158">SUM(F152:H152)</f>
        <v>0</v>
      </c>
      <c r="J152" s="112">
        <f aca="true" t="shared" si="116" ref="J152:J158">W152*$J$279/100</f>
        <v>742.6968527140781</v>
      </c>
      <c r="K152" s="112">
        <f aca="true" t="shared" si="117" ref="K152:K158">Q152*$K$279/100</f>
        <v>337.59213161000827</v>
      </c>
      <c r="L152" s="112">
        <f aca="true" t="shared" si="118" ref="L152:L158">Q152*$L$279/100</f>
        <v>515.5952555498308</v>
      </c>
      <c r="M152" s="112">
        <f aca="true" t="shared" si="119" ref="M152:M158">Q152*$M$279/100</f>
        <v>761.1168058116549</v>
      </c>
      <c r="N152" s="122">
        <v>39.2375</v>
      </c>
      <c r="O152" s="122">
        <v>240</v>
      </c>
      <c r="P152" s="122">
        <v>501.09375</v>
      </c>
      <c r="Q152" s="112">
        <f aca="true" t="shared" si="120" ref="Q152:Q158">X152*$Q$279/100</f>
        <v>1716.8115680592412</v>
      </c>
      <c r="R152" s="112">
        <f aca="true" t="shared" si="121" ref="R152:R158">I152+J152+K152+L152+M152+N152+O152+P152</f>
        <v>3137.3322956855723</v>
      </c>
      <c r="T152" s="10">
        <v>0</v>
      </c>
      <c r="U152" s="10">
        <v>0</v>
      </c>
      <c r="V152" s="10">
        <v>0</v>
      </c>
      <c r="W152" s="10">
        <v>172.256478773655</v>
      </c>
      <c r="X152" s="10">
        <v>2564.28485033932</v>
      </c>
      <c r="Y152" s="10">
        <v>2735.54132911297</v>
      </c>
    </row>
    <row r="153" spans="1:25" ht="14.25">
      <c r="A153" s="3"/>
      <c r="B153" s="3">
        <v>96</v>
      </c>
      <c r="C153" s="117" t="s">
        <v>298</v>
      </c>
      <c r="D153" s="113">
        <f t="shared" si="110"/>
        <v>0</v>
      </c>
      <c r="E153" s="113">
        <f t="shared" si="111"/>
        <v>2107.778279737413</v>
      </c>
      <c r="F153" s="112">
        <f t="shared" si="112"/>
        <v>2107.778279737413</v>
      </c>
      <c r="G153" s="112">
        <f t="shared" si="113"/>
        <v>255.13950364961772</v>
      </c>
      <c r="H153" s="112">
        <f t="shared" si="114"/>
        <v>238.97414114750157</v>
      </c>
      <c r="I153" s="112">
        <f t="shared" si="115"/>
        <v>2601.8919245345323</v>
      </c>
      <c r="J153" s="112">
        <f t="shared" si="116"/>
        <v>7052.741430811974</v>
      </c>
      <c r="K153" s="112">
        <f t="shared" si="117"/>
        <v>3267.64434376239</v>
      </c>
      <c r="L153" s="112">
        <f t="shared" si="118"/>
        <v>4990.584088655285</v>
      </c>
      <c r="M153" s="112">
        <f t="shared" si="119"/>
        <v>7367.052702300659</v>
      </c>
      <c r="N153" s="122">
        <v>39.2375</v>
      </c>
      <c r="O153" s="122">
        <v>240</v>
      </c>
      <c r="P153" s="122">
        <v>501.09375</v>
      </c>
      <c r="Q153" s="112">
        <f t="shared" si="120"/>
        <v>16617.477376976596</v>
      </c>
      <c r="R153" s="112">
        <f t="shared" si="121"/>
        <v>26060.245740064838</v>
      </c>
      <c r="T153" s="10">
        <v>0</v>
      </c>
      <c r="U153" s="10">
        <v>2368.01596597463</v>
      </c>
      <c r="V153" s="10">
        <v>2368.01596597463</v>
      </c>
      <c r="W153" s="10">
        <v>1635.76888757928</v>
      </c>
      <c r="X153" s="10">
        <v>24820.3974631927</v>
      </c>
      <c r="Y153" s="10">
        <v>28824.1823167466</v>
      </c>
    </row>
    <row r="154" spans="1:25" ht="14.25">
      <c r="A154" s="3"/>
      <c r="B154" s="3">
        <v>97</v>
      </c>
      <c r="C154" s="117" t="s">
        <v>299</v>
      </c>
      <c r="D154" s="113">
        <f t="shared" si="110"/>
        <v>0</v>
      </c>
      <c r="E154" s="113">
        <f t="shared" si="111"/>
        <v>723.5071490447477</v>
      </c>
      <c r="F154" s="112">
        <f t="shared" si="112"/>
        <v>723.5071490447477</v>
      </c>
      <c r="G154" s="112">
        <f t="shared" si="113"/>
        <v>87.57811799693837</v>
      </c>
      <c r="H154" s="112">
        <f t="shared" si="114"/>
        <v>82.02926333342131</v>
      </c>
      <c r="I154" s="112">
        <f t="shared" si="115"/>
        <v>893.1145303751074</v>
      </c>
      <c r="J154" s="112">
        <f t="shared" si="116"/>
        <v>2222.333218198706</v>
      </c>
      <c r="K154" s="112">
        <f t="shared" si="117"/>
        <v>898.3121669301821</v>
      </c>
      <c r="L154" s="112">
        <f t="shared" si="118"/>
        <v>1371.9676731297325</v>
      </c>
      <c r="M154" s="112">
        <f t="shared" si="119"/>
        <v>2025.2856127153195</v>
      </c>
      <c r="N154" s="122">
        <v>39.2375</v>
      </c>
      <c r="O154" s="122">
        <v>240</v>
      </c>
      <c r="P154" s="122">
        <v>501.09375</v>
      </c>
      <c r="Q154" s="112">
        <f t="shared" si="120"/>
        <v>4568.331354641026</v>
      </c>
      <c r="R154" s="112">
        <f t="shared" si="121"/>
        <v>8191.344451349048</v>
      </c>
      <c r="T154" s="10">
        <v>0</v>
      </c>
      <c r="U154" s="10">
        <v>812.835247855476</v>
      </c>
      <c r="V154" s="10">
        <v>812.835247855476</v>
      </c>
      <c r="W154" s="10">
        <v>515.434114780082</v>
      </c>
      <c r="X154" s="10">
        <v>6823.40630852032</v>
      </c>
      <c r="Y154" s="10">
        <v>8150.67567115587</v>
      </c>
    </row>
    <row r="155" spans="1:25" ht="14.25">
      <c r="A155" s="3"/>
      <c r="B155" s="3">
        <v>98</v>
      </c>
      <c r="C155" s="117" t="s">
        <v>300</v>
      </c>
      <c r="D155" s="113">
        <f t="shared" si="110"/>
        <v>0</v>
      </c>
      <c r="E155" s="113">
        <f t="shared" si="111"/>
        <v>327.4409048522301</v>
      </c>
      <c r="F155" s="112">
        <f t="shared" si="112"/>
        <v>327.4409048522301</v>
      </c>
      <c r="G155" s="112">
        <f t="shared" si="113"/>
        <v>39.6356252181266</v>
      </c>
      <c r="H155" s="112">
        <f t="shared" si="114"/>
        <v>37.12435495035599</v>
      </c>
      <c r="I155" s="112">
        <f t="shared" si="115"/>
        <v>404.2008850207127</v>
      </c>
      <c r="J155" s="112">
        <f t="shared" si="116"/>
        <v>0</v>
      </c>
      <c r="K155" s="112">
        <f t="shared" si="117"/>
        <v>377.03588581873686</v>
      </c>
      <c r="L155" s="112">
        <f t="shared" si="118"/>
        <v>575.8366256140708</v>
      </c>
      <c r="M155" s="112">
        <f t="shared" si="119"/>
        <v>850.0445425731522</v>
      </c>
      <c r="N155" s="122">
        <v>39.2375</v>
      </c>
      <c r="O155" s="122">
        <v>240</v>
      </c>
      <c r="P155" s="122">
        <v>501.09375</v>
      </c>
      <c r="Q155" s="112">
        <f t="shared" si="120"/>
        <v>1917.40123580499</v>
      </c>
      <c r="R155" s="112">
        <f t="shared" si="121"/>
        <v>2987.4491890266727</v>
      </c>
      <c r="T155" s="10">
        <v>0</v>
      </c>
      <c r="U155" s="10">
        <v>367.868526807221</v>
      </c>
      <c r="V155" s="10">
        <v>367.868526807221</v>
      </c>
      <c r="W155" s="10">
        <v>0</v>
      </c>
      <c r="X155" s="10">
        <v>2863.89201498377</v>
      </c>
      <c r="Y155" s="10">
        <v>3231.76054179099</v>
      </c>
    </row>
    <row r="156" spans="1:25" ht="14.25">
      <c r="A156" s="3"/>
      <c r="B156" s="3">
        <v>99</v>
      </c>
      <c r="C156" s="101" t="s">
        <v>301</v>
      </c>
      <c r="D156" s="113">
        <f t="shared" si="110"/>
        <v>0</v>
      </c>
      <c r="E156" s="113">
        <f t="shared" si="111"/>
        <v>2362.672397287045</v>
      </c>
      <c r="F156" s="112">
        <f t="shared" si="112"/>
        <v>2362.672397287045</v>
      </c>
      <c r="G156" s="112">
        <f t="shared" si="113"/>
        <v>285.99358316073324</v>
      </c>
      <c r="H156" s="112">
        <f t="shared" si="114"/>
        <v>267.87333961184964</v>
      </c>
      <c r="I156" s="112">
        <f t="shared" si="115"/>
        <v>2916.539320059628</v>
      </c>
      <c r="J156" s="112">
        <f t="shared" si="116"/>
        <v>2976.5447507998238</v>
      </c>
      <c r="K156" s="112">
        <f t="shared" si="117"/>
        <v>885.1642488606038</v>
      </c>
      <c r="L156" s="112">
        <f t="shared" si="118"/>
        <v>1351.8872164416493</v>
      </c>
      <c r="M156" s="112">
        <f t="shared" si="119"/>
        <v>1995.643033794816</v>
      </c>
      <c r="N156" s="122">
        <v>39.2375</v>
      </c>
      <c r="O156" s="122">
        <v>240</v>
      </c>
      <c r="P156" s="122">
        <v>501.09375</v>
      </c>
      <c r="Q156" s="112">
        <f t="shared" si="120"/>
        <v>4501.4681320591</v>
      </c>
      <c r="R156" s="112">
        <f t="shared" si="121"/>
        <v>10906.10981995652</v>
      </c>
      <c r="T156" s="10">
        <v>0</v>
      </c>
      <c r="U156" s="10">
        <v>2654.38068744132</v>
      </c>
      <c r="V156" s="10">
        <v>2654.38068744132</v>
      </c>
      <c r="W156" s="10">
        <v>690.361236635499</v>
      </c>
      <c r="X156" s="10">
        <v>6723.53725363882</v>
      </c>
      <c r="Y156" s="10">
        <v>10068.2791777156</v>
      </c>
    </row>
    <row r="157" spans="1:25" ht="14.25">
      <c r="A157" s="3"/>
      <c r="B157" s="3">
        <v>100</v>
      </c>
      <c r="C157" s="117" t="s">
        <v>302</v>
      </c>
      <c r="D157" s="113">
        <f t="shared" si="110"/>
        <v>0</v>
      </c>
      <c r="E157" s="113">
        <f t="shared" si="111"/>
        <v>2341.1044334943854</v>
      </c>
      <c r="F157" s="112">
        <f t="shared" si="112"/>
        <v>2341.1044334943854</v>
      </c>
      <c r="G157" s="112">
        <f t="shared" si="113"/>
        <v>283.38285335594674</v>
      </c>
      <c r="H157" s="112">
        <f t="shared" si="114"/>
        <v>265.4280228187127</v>
      </c>
      <c r="I157" s="112">
        <f t="shared" si="115"/>
        <v>2889.9153096690447</v>
      </c>
      <c r="J157" s="112">
        <f t="shared" si="116"/>
        <v>1992.0396204579056</v>
      </c>
      <c r="K157" s="112">
        <f t="shared" si="117"/>
        <v>559.1732214296346</v>
      </c>
      <c r="L157" s="112">
        <f t="shared" si="118"/>
        <v>854.0100109107145</v>
      </c>
      <c r="M157" s="112">
        <f t="shared" si="119"/>
        <v>1260.6814446777214</v>
      </c>
      <c r="N157" s="122">
        <v>39.2375</v>
      </c>
      <c r="O157" s="122">
        <v>240</v>
      </c>
      <c r="P157" s="122">
        <v>501.09375</v>
      </c>
      <c r="Q157" s="112">
        <f t="shared" si="120"/>
        <v>2843.6535251015553</v>
      </c>
      <c r="R157" s="112">
        <f t="shared" si="121"/>
        <v>8336.150857145021</v>
      </c>
      <c r="T157" s="10">
        <v>0</v>
      </c>
      <c r="U157" s="10">
        <v>2630.14982639414</v>
      </c>
      <c r="V157" s="10">
        <v>2630.14982639414</v>
      </c>
      <c r="W157" s="10">
        <v>462.02125314484</v>
      </c>
      <c r="X157" s="10">
        <v>4247.3721576067</v>
      </c>
      <c r="Y157" s="10">
        <v>7338.54323714568</v>
      </c>
    </row>
    <row r="158" spans="1:25" ht="14.25">
      <c r="A158" s="3"/>
      <c r="B158" s="3">
        <v>101</v>
      </c>
      <c r="C158" s="117" t="s">
        <v>303</v>
      </c>
      <c r="D158" s="113">
        <f t="shared" si="110"/>
        <v>0</v>
      </c>
      <c r="E158" s="113">
        <f t="shared" si="111"/>
        <v>0</v>
      </c>
      <c r="F158" s="112">
        <f t="shared" si="112"/>
        <v>0</v>
      </c>
      <c r="G158" s="112">
        <f t="shared" si="113"/>
        <v>0</v>
      </c>
      <c r="H158" s="112">
        <f t="shared" si="114"/>
        <v>0</v>
      </c>
      <c r="I158" s="112">
        <f t="shared" si="115"/>
        <v>0</v>
      </c>
      <c r="J158" s="112">
        <f t="shared" si="116"/>
        <v>0</v>
      </c>
      <c r="K158" s="112">
        <f t="shared" si="117"/>
        <v>514.3156186040205</v>
      </c>
      <c r="L158" s="112">
        <f t="shared" si="118"/>
        <v>785.5002175043222</v>
      </c>
      <c r="M158" s="112">
        <f t="shared" si="119"/>
        <v>1159.547940125428</v>
      </c>
      <c r="N158" s="122">
        <v>39.2375</v>
      </c>
      <c r="O158" s="122">
        <v>240</v>
      </c>
      <c r="P158" s="122">
        <v>501.09375</v>
      </c>
      <c r="Q158" s="112">
        <f t="shared" si="120"/>
        <v>2615.531942175012</v>
      </c>
      <c r="R158" s="112">
        <f t="shared" si="121"/>
        <v>3239.6950262337714</v>
      </c>
      <c r="T158" s="10">
        <v>0</v>
      </c>
      <c r="U158" s="10">
        <v>0</v>
      </c>
      <c r="V158" s="10">
        <v>0</v>
      </c>
      <c r="W158" s="10">
        <v>0</v>
      </c>
      <c r="X158" s="10">
        <v>3906.64244095222</v>
      </c>
      <c r="Y158" s="10">
        <v>3906.64244095222</v>
      </c>
    </row>
    <row r="159" spans="1:25" ht="14.25">
      <c r="A159" s="3">
        <v>7</v>
      </c>
      <c r="B159" s="3"/>
      <c r="C159" s="101" t="s">
        <v>78</v>
      </c>
      <c r="D159" s="112">
        <f aca="true" t="shared" si="122" ref="D159:R159">SUM(D152:D158)</f>
        <v>0</v>
      </c>
      <c r="E159" s="112">
        <f t="shared" si="122"/>
        <v>7862.503164415821</v>
      </c>
      <c r="F159" s="112">
        <f t="shared" si="122"/>
        <v>7862.503164415821</v>
      </c>
      <c r="G159" s="112">
        <f t="shared" si="122"/>
        <v>951.7296833813626</v>
      </c>
      <c r="H159" s="112">
        <f t="shared" si="122"/>
        <v>891.4291218618412</v>
      </c>
      <c r="I159" s="112">
        <f t="shared" si="122"/>
        <v>9705.661969659024</v>
      </c>
      <c r="J159" s="112">
        <f t="shared" si="122"/>
        <v>14986.355872982487</v>
      </c>
      <c r="K159" s="112">
        <f t="shared" si="122"/>
        <v>6839.237617015576</v>
      </c>
      <c r="L159" s="112">
        <f t="shared" si="122"/>
        <v>10445.381087805607</v>
      </c>
      <c r="M159" s="112">
        <f t="shared" si="122"/>
        <v>15419.37208199875</v>
      </c>
      <c r="N159" s="112">
        <f t="shared" si="122"/>
        <v>274.6625</v>
      </c>
      <c r="O159" s="112">
        <f t="shared" si="122"/>
        <v>1680</v>
      </c>
      <c r="P159" s="112">
        <f t="shared" si="122"/>
        <v>3507.65625</v>
      </c>
      <c r="Q159" s="112">
        <f t="shared" si="122"/>
        <v>34780.675134817524</v>
      </c>
      <c r="R159" s="112">
        <f t="shared" si="122"/>
        <v>62858.32737946144</v>
      </c>
      <c r="T159" s="10">
        <v>0</v>
      </c>
      <c r="U159" s="10">
        <v>8833.25025447279</v>
      </c>
      <c r="V159" s="10">
        <v>8833.25025447279</v>
      </c>
      <c r="W159" s="10">
        <v>3474.84197091335</v>
      </c>
      <c r="X159" s="10">
        <v>51948.5324892339</v>
      </c>
      <c r="Y159" s="10">
        <v>64256.62471462</v>
      </c>
    </row>
    <row r="160" spans="1:25" ht="14.25">
      <c r="A160" s="3"/>
      <c r="B160" s="3"/>
      <c r="C160" s="101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T160" s="10"/>
      <c r="U160" s="10"/>
      <c r="V160" s="10"/>
      <c r="W160" s="10"/>
      <c r="X160" s="10"/>
      <c r="Y160" s="10"/>
    </row>
    <row r="161" spans="1:25" ht="14.25">
      <c r="A161" s="3"/>
      <c r="B161" s="3"/>
      <c r="C161" s="117" t="s">
        <v>157</v>
      </c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T161" s="10"/>
      <c r="U161" s="10"/>
      <c r="V161" s="10"/>
      <c r="W161" s="10"/>
      <c r="X161" s="10"/>
      <c r="Y161" s="10"/>
    </row>
    <row r="162" spans="1:25" ht="14.25">
      <c r="A162" s="3"/>
      <c r="B162" s="3">
        <v>102</v>
      </c>
      <c r="C162" s="117" t="s">
        <v>304</v>
      </c>
      <c r="D162" s="113">
        <f>T162*$D$279/100</f>
        <v>0</v>
      </c>
      <c r="E162" s="113">
        <f>U162*$E$279/100</f>
        <v>0</v>
      </c>
      <c r="F162" s="112">
        <f>D162+E162</f>
        <v>0</v>
      </c>
      <c r="G162" s="112">
        <f>E162*$G$279/100</f>
        <v>0</v>
      </c>
      <c r="H162" s="112">
        <f>E162*$H$279/100</f>
        <v>0</v>
      </c>
      <c r="I162" s="112">
        <f>SUM(F162:H162)</f>
        <v>0</v>
      </c>
      <c r="J162" s="112">
        <f>W162*$J$279/100</f>
        <v>108894.3276917365</v>
      </c>
      <c r="K162" s="112">
        <f>Q162*$K$279/100</f>
        <v>30611.833597227727</v>
      </c>
      <c r="L162" s="112">
        <f>Q162*$L$279/100</f>
        <v>46752.61858485689</v>
      </c>
      <c r="M162" s="112">
        <f>Q162*$M$279/100</f>
        <v>69015.7702919316</v>
      </c>
      <c r="N162" s="122">
        <v>39.2375</v>
      </c>
      <c r="O162" s="122">
        <v>240</v>
      </c>
      <c r="P162" s="122">
        <v>501.09375</v>
      </c>
      <c r="Q162" s="112">
        <f>X162*$Q$279/100</f>
        <v>155675.2812590347</v>
      </c>
      <c r="R162" s="112">
        <f>I162+J162+K162+L162+M162+N162+O162+P162</f>
        <v>256054.8814157527</v>
      </c>
      <c r="T162" s="10">
        <v>0</v>
      </c>
      <c r="U162" s="10">
        <v>0</v>
      </c>
      <c r="V162" s="10">
        <v>0</v>
      </c>
      <c r="W162" s="10">
        <v>25256.271624224</v>
      </c>
      <c r="X162" s="10">
        <v>232521.59569039</v>
      </c>
      <c r="Y162" s="10">
        <v>257777.867314614</v>
      </c>
    </row>
    <row r="163" spans="1:25" ht="14.25">
      <c r="A163" s="3"/>
      <c r="B163" s="3">
        <v>103</v>
      </c>
      <c r="C163" s="117" t="s">
        <v>305</v>
      </c>
      <c r="D163" s="113">
        <f>T163*$D$279/100</f>
        <v>0</v>
      </c>
      <c r="E163" s="113">
        <f>U163*$E$279/100</f>
        <v>0</v>
      </c>
      <c r="F163" s="112">
        <f>D163+E163</f>
        <v>0</v>
      </c>
      <c r="G163" s="112">
        <f>E163*$G$279/100</f>
        <v>0</v>
      </c>
      <c r="H163" s="112">
        <f>E163*$H$279/100</f>
        <v>0</v>
      </c>
      <c r="I163" s="112">
        <f>SUM(F163:H163)</f>
        <v>0</v>
      </c>
      <c r="J163" s="112">
        <f>W163*$J$279/100</f>
        <v>0</v>
      </c>
      <c r="K163" s="112">
        <f>Q163*$K$279/100</f>
        <v>2136.923389778818</v>
      </c>
      <c r="L163" s="112">
        <f>Q163*$L$279/100</f>
        <v>3263.664813480377</v>
      </c>
      <c r="M163" s="112">
        <f>Q163*$M$279/100</f>
        <v>4817.790915137699</v>
      </c>
      <c r="N163" s="122">
        <v>39.2375</v>
      </c>
      <c r="O163" s="122">
        <v>240</v>
      </c>
      <c r="P163" s="122">
        <v>501.09375</v>
      </c>
      <c r="Q163" s="112">
        <f>X163*$Q$279/100</f>
        <v>10867.240234931707</v>
      </c>
      <c r="R163" s="112">
        <f>I163+J163+K163+L163+M163+N163+O163+P163</f>
        <v>10998.710368396893</v>
      </c>
      <c r="T163" s="10">
        <v>0</v>
      </c>
      <c r="U163" s="10">
        <v>0</v>
      </c>
      <c r="V163" s="10">
        <v>0</v>
      </c>
      <c r="W163" s="10">
        <v>0</v>
      </c>
      <c r="X163" s="10">
        <v>16231.658743385</v>
      </c>
      <c r="Y163" s="10">
        <v>16231.658743385</v>
      </c>
    </row>
    <row r="164" spans="1:25" ht="14.25">
      <c r="A164" s="3">
        <v>2</v>
      </c>
      <c r="B164" s="3"/>
      <c r="C164" s="101" t="s">
        <v>78</v>
      </c>
      <c r="D164" s="112">
        <f aca="true" t="shared" si="123" ref="D164:R164">SUM(D162:D163)</f>
        <v>0</v>
      </c>
      <c r="E164" s="112">
        <f t="shared" si="123"/>
        <v>0</v>
      </c>
      <c r="F164" s="112">
        <f t="shared" si="123"/>
        <v>0</v>
      </c>
      <c r="G164" s="112">
        <f t="shared" si="123"/>
        <v>0</v>
      </c>
      <c r="H164" s="112">
        <f t="shared" si="123"/>
        <v>0</v>
      </c>
      <c r="I164" s="112">
        <f t="shared" si="123"/>
        <v>0</v>
      </c>
      <c r="J164" s="112">
        <f t="shared" si="123"/>
        <v>108894.3276917365</v>
      </c>
      <c r="K164" s="112">
        <f t="shared" si="123"/>
        <v>32748.756987006545</v>
      </c>
      <c r="L164" s="112">
        <f t="shared" si="123"/>
        <v>50016.28339833727</v>
      </c>
      <c r="M164" s="112">
        <f t="shared" si="123"/>
        <v>73833.5612070693</v>
      </c>
      <c r="N164" s="112">
        <f t="shared" si="123"/>
        <v>78.475</v>
      </c>
      <c r="O164" s="112">
        <f t="shared" si="123"/>
        <v>480</v>
      </c>
      <c r="P164" s="112">
        <f t="shared" si="123"/>
        <v>1002.1875</v>
      </c>
      <c r="Q164" s="112">
        <f t="shared" si="123"/>
        <v>166542.5214939664</v>
      </c>
      <c r="R164" s="112">
        <f t="shared" si="123"/>
        <v>267053.5917841496</v>
      </c>
      <c r="T164" s="10">
        <v>0</v>
      </c>
      <c r="U164" s="10">
        <v>0</v>
      </c>
      <c r="V164" s="10">
        <v>0</v>
      </c>
      <c r="W164" s="10">
        <v>25256.271624224</v>
      </c>
      <c r="X164" s="10">
        <v>248754.254433775</v>
      </c>
      <c r="Y164" s="10">
        <v>274009.526057999</v>
      </c>
    </row>
    <row r="165" spans="1:25" ht="14.25">
      <c r="A165" s="3"/>
      <c r="B165" s="3"/>
      <c r="C165" s="101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T165" s="10"/>
      <c r="U165" s="10"/>
      <c r="V165" s="10"/>
      <c r="W165" s="10"/>
      <c r="X165" s="10"/>
      <c r="Y165" s="10"/>
    </row>
    <row r="166" spans="1:25" ht="14.25">
      <c r="A166" s="3"/>
      <c r="B166" s="3"/>
      <c r="C166" s="117" t="s">
        <v>306</v>
      </c>
      <c r="D166" s="113">
        <f aca="true" t="shared" si="124" ref="D166:D174">T166*$D$279/100</f>
        <v>0</v>
      </c>
      <c r="E166" s="113">
        <f aca="true" t="shared" si="125" ref="E166:E174">U166*$E$279/100</f>
        <v>0</v>
      </c>
      <c r="F166" s="112">
        <f aca="true" t="shared" si="126" ref="F166:F174">D166+E166</f>
        <v>0</v>
      </c>
      <c r="G166" s="112">
        <f aca="true" t="shared" si="127" ref="G166:G174">E166*$G$279/100</f>
        <v>0</v>
      </c>
      <c r="H166" s="112">
        <f aca="true" t="shared" si="128" ref="H166:H174">E166*$H$279/100</f>
        <v>0</v>
      </c>
      <c r="I166" s="112">
        <f aca="true" t="shared" si="129" ref="I166:I174">SUM(F166:H166)</f>
        <v>0</v>
      </c>
      <c r="J166" s="112">
        <f aca="true" t="shared" si="130" ref="J166:J174">W166*$J$279/100</f>
        <v>0</v>
      </c>
      <c r="K166" s="112"/>
      <c r="L166" s="112"/>
      <c r="M166" s="112"/>
      <c r="N166" s="112"/>
      <c r="O166" s="112"/>
      <c r="P166" s="112"/>
      <c r="Q166" s="112"/>
      <c r="R166" s="112"/>
      <c r="T166" s="10"/>
      <c r="U166" s="10"/>
      <c r="V166" s="10"/>
      <c r="W166" s="10"/>
      <c r="X166" s="10"/>
      <c r="Y166" s="10"/>
    </row>
    <row r="167" spans="1:25" ht="14.25">
      <c r="A167" s="3"/>
      <c r="B167" s="3">
        <v>104</v>
      </c>
      <c r="C167" s="117" t="s">
        <v>307</v>
      </c>
      <c r="D167" s="113">
        <f t="shared" si="124"/>
        <v>0</v>
      </c>
      <c r="E167" s="113">
        <f t="shared" si="125"/>
        <v>0</v>
      </c>
      <c r="F167" s="112">
        <f t="shared" si="126"/>
        <v>0</v>
      </c>
      <c r="G167" s="112">
        <f t="shared" si="127"/>
        <v>0</v>
      </c>
      <c r="H167" s="112">
        <f t="shared" si="128"/>
        <v>0</v>
      </c>
      <c r="I167" s="112">
        <f t="shared" si="129"/>
        <v>0</v>
      </c>
      <c r="J167" s="112">
        <f t="shared" si="130"/>
        <v>0</v>
      </c>
      <c r="K167" s="112">
        <f aca="true" t="shared" si="131" ref="K167:K174">Q167*$K$279/100</f>
        <v>4345.386921995036</v>
      </c>
      <c r="L167" s="112">
        <f aca="true" t="shared" si="132" ref="L167:L174">Q167*$L$279/100</f>
        <v>6636.590935410599</v>
      </c>
      <c r="M167" s="112">
        <f aca="true" t="shared" si="133" ref="M167:M174">Q167*$M$279/100</f>
        <v>9796.87233322517</v>
      </c>
      <c r="N167" s="122">
        <v>39.2375</v>
      </c>
      <c r="O167" s="122">
        <v>240</v>
      </c>
      <c r="P167" s="122">
        <v>501.09375</v>
      </c>
      <c r="Q167" s="112">
        <f aca="true" t="shared" si="134" ref="Q167:Q174">X167*$Q$279/100</f>
        <v>22098.295063323836</v>
      </c>
      <c r="R167" s="112">
        <f aca="true" t="shared" si="135" ref="R167:R174">I167+J167+K167+L167+M167+N167+O167+P167</f>
        <v>21559.181440630804</v>
      </c>
      <c r="T167" s="10">
        <v>0</v>
      </c>
      <c r="U167" s="10">
        <v>0</v>
      </c>
      <c r="V167" s="10">
        <v>0</v>
      </c>
      <c r="W167" s="10">
        <v>0</v>
      </c>
      <c r="X167" s="10">
        <v>33006.722638331</v>
      </c>
      <c r="Y167" s="10">
        <v>33006.722638331</v>
      </c>
    </row>
    <row r="168" spans="1:25" ht="14.25">
      <c r="A168" s="3"/>
      <c r="B168" s="3">
        <v>105</v>
      </c>
      <c r="C168" s="117" t="s">
        <v>308</v>
      </c>
      <c r="D168" s="113">
        <f t="shared" si="124"/>
        <v>0</v>
      </c>
      <c r="E168" s="113">
        <f t="shared" si="125"/>
        <v>0</v>
      </c>
      <c r="F168" s="112">
        <f t="shared" si="126"/>
        <v>0</v>
      </c>
      <c r="G168" s="112">
        <f t="shared" si="127"/>
        <v>0</v>
      </c>
      <c r="H168" s="112">
        <f t="shared" si="128"/>
        <v>0</v>
      </c>
      <c r="I168" s="112">
        <f t="shared" si="129"/>
        <v>0</v>
      </c>
      <c r="J168" s="112">
        <f t="shared" si="130"/>
        <v>20380.983400060686</v>
      </c>
      <c r="K168" s="112">
        <f t="shared" si="131"/>
        <v>73928.03638092004</v>
      </c>
      <c r="L168" s="112">
        <f t="shared" si="132"/>
        <v>112908.27374540514</v>
      </c>
      <c r="M168" s="112">
        <f t="shared" si="133"/>
        <v>166674.11838607426</v>
      </c>
      <c r="N168" s="122">
        <v>39.2375</v>
      </c>
      <c r="O168" s="122">
        <v>240</v>
      </c>
      <c r="P168" s="122">
        <v>501.09375</v>
      </c>
      <c r="Q168" s="112">
        <f t="shared" si="134"/>
        <v>375958.13462053234</v>
      </c>
      <c r="R168" s="112">
        <f t="shared" si="135"/>
        <v>374671.7431624601</v>
      </c>
      <c r="T168" s="10">
        <v>0</v>
      </c>
      <c r="U168" s="10">
        <v>0</v>
      </c>
      <c r="V168" s="10">
        <v>0</v>
      </c>
      <c r="W168" s="10">
        <v>4727.03825471889</v>
      </c>
      <c r="X168" s="10">
        <v>561543.134322587</v>
      </c>
      <c r="Y168" s="10">
        <v>566270.172577306</v>
      </c>
    </row>
    <row r="169" spans="1:25" ht="14.25">
      <c r="A169" s="3"/>
      <c r="B169" s="3">
        <v>106</v>
      </c>
      <c r="C169" s="117" t="s">
        <v>309</v>
      </c>
      <c r="D169" s="113">
        <f t="shared" si="124"/>
        <v>0</v>
      </c>
      <c r="E169" s="113">
        <f t="shared" si="125"/>
        <v>0</v>
      </c>
      <c r="F169" s="112">
        <f t="shared" si="126"/>
        <v>0</v>
      </c>
      <c r="G169" s="112">
        <f t="shared" si="127"/>
        <v>0</v>
      </c>
      <c r="H169" s="112">
        <f t="shared" si="128"/>
        <v>0</v>
      </c>
      <c r="I169" s="112">
        <f t="shared" si="129"/>
        <v>0</v>
      </c>
      <c r="J169" s="112">
        <f t="shared" si="130"/>
        <v>0</v>
      </c>
      <c r="K169" s="112">
        <f t="shared" si="131"/>
        <v>2259.8950940766294</v>
      </c>
      <c r="L169" s="112">
        <f t="shared" si="132"/>
        <v>3451.4761436806702</v>
      </c>
      <c r="M169" s="112">
        <f t="shared" si="133"/>
        <v>5095.036212100037</v>
      </c>
      <c r="N169" s="122">
        <v>39.2375</v>
      </c>
      <c r="O169" s="122">
        <v>240</v>
      </c>
      <c r="P169" s="122">
        <v>501.09375</v>
      </c>
      <c r="Q169" s="112">
        <f t="shared" si="134"/>
        <v>11492.608022609682</v>
      </c>
      <c r="R169" s="112">
        <f t="shared" si="135"/>
        <v>11586.738699857335</v>
      </c>
      <c r="T169" s="10">
        <v>0</v>
      </c>
      <c r="U169" s="10">
        <v>0</v>
      </c>
      <c r="V169" s="10">
        <v>0</v>
      </c>
      <c r="W169" s="10">
        <v>0</v>
      </c>
      <c r="X169" s="10">
        <v>17165.7281390413</v>
      </c>
      <c r="Y169" s="10">
        <v>17165.7281390413</v>
      </c>
    </row>
    <row r="170" spans="1:25" ht="14.25">
      <c r="A170" s="3"/>
      <c r="B170" s="3">
        <v>107</v>
      </c>
      <c r="C170" s="117" t="s">
        <v>310</v>
      </c>
      <c r="D170" s="113">
        <f t="shared" si="124"/>
        <v>0</v>
      </c>
      <c r="E170" s="113">
        <f t="shared" si="125"/>
        <v>0</v>
      </c>
      <c r="F170" s="112">
        <f t="shared" si="126"/>
        <v>0</v>
      </c>
      <c r="G170" s="112">
        <f t="shared" si="127"/>
        <v>0</v>
      </c>
      <c r="H170" s="112">
        <f t="shared" si="128"/>
        <v>0</v>
      </c>
      <c r="I170" s="112">
        <f t="shared" si="129"/>
        <v>0</v>
      </c>
      <c r="J170" s="112">
        <f t="shared" si="130"/>
        <v>0</v>
      </c>
      <c r="K170" s="112">
        <f t="shared" si="131"/>
        <v>4362.015171318319</v>
      </c>
      <c r="L170" s="112">
        <f t="shared" si="132"/>
        <v>6661.98680710434</v>
      </c>
      <c r="M170" s="112">
        <f t="shared" si="133"/>
        <v>9834.361477154027</v>
      </c>
      <c r="N170" s="122">
        <v>39.2375</v>
      </c>
      <c r="O170" s="122">
        <v>240</v>
      </c>
      <c r="P170" s="122">
        <v>501.09375</v>
      </c>
      <c r="Q170" s="112">
        <f t="shared" si="134"/>
        <v>22182.857374236235</v>
      </c>
      <c r="R170" s="112">
        <f t="shared" si="135"/>
        <v>21638.694705576683</v>
      </c>
      <c r="T170" s="10">
        <v>0</v>
      </c>
      <c r="U170" s="10">
        <v>0</v>
      </c>
      <c r="V170" s="10">
        <v>0</v>
      </c>
      <c r="W170" s="10">
        <v>0</v>
      </c>
      <c r="X170" s="10">
        <v>33133.0276195046</v>
      </c>
      <c r="Y170" s="10">
        <v>33133.0276195046</v>
      </c>
    </row>
    <row r="171" spans="1:25" ht="14.25">
      <c r="A171" s="3"/>
      <c r="B171" s="3">
        <v>108</v>
      </c>
      <c r="C171" s="117" t="s">
        <v>311</v>
      </c>
      <c r="D171" s="113">
        <f t="shared" si="124"/>
        <v>0</v>
      </c>
      <c r="E171" s="113">
        <f t="shared" si="125"/>
        <v>0</v>
      </c>
      <c r="F171" s="112">
        <f t="shared" si="126"/>
        <v>0</v>
      </c>
      <c r="G171" s="112">
        <f t="shared" si="127"/>
        <v>0</v>
      </c>
      <c r="H171" s="112">
        <f t="shared" si="128"/>
        <v>0</v>
      </c>
      <c r="I171" s="112">
        <f t="shared" si="129"/>
        <v>0</v>
      </c>
      <c r="J171" s="112">
        <f t="shared" si="130"/>
        <v>0</v>
      </c>
      <c r="K171" s="112">
        <f t="shared" si="131"/>
        <v>6960.66250742284</v>
      </c>
      <c r="L171" s="112">
        <f t="shared" si="132"/>
        <v>10630.8300113367</v>
      </c>
      <c r="M171" s="112">
        <f t="shared" si="133"/>
        <v>15693.13001673513</v>
      </c>
      <c r="N171" s="122">
        <v>39.2375</v>
      </c>
      <c r="O171" s="122">
        <v>240</v>
      </c>
      <c r="P171" s="122">
        <v>501.09375</v>
      </c>
      <c r="Q171" s="112">
        <f t="shared" si="134"/>
        <v>35398.176661015226</v>
      </c>
      <c r="R171" s="112">
        <f t="shared" si="135"/>
        <v>34064.95378549467</v>
      </c>
      <c r="T171" s="10">
        <v>0</v>
      </c>
      <c r="U171" s="10">
        <v>0</v>
      </c>
      <c r="V171" s="10">
        <v>0</v>
      </c>
      <c r="W171" s="10">
        <v>0</v>
      </c>
      <c r="X171" s="10">
        <v>52871.8525843158</v>
      </c>
      <c r="Y171" s="10">
        <v>52871.8525843158</v>
      </c>
    </row>
    <row r="172" spans="1:25" ht="14.25">
      <c r="A172" s="3"/>
      <c r="B172" s="3">
        <v>109</v>
      </c>
      <c r="C172" s="117" t="s">
        <v>312</v>
      </c>
      <c r="D172" s="113">
        <f t="shared" si="124"/>
        <v>0</v>
      </c>
      <c r="E172" s="113">
        <f t="shared" si="125"/>
        <v>0</v>
      </c>
      <c r="F172" s="112">
        <f t="shared" si="126"/>
        <v>0</v>
      </c>
      <c r="G172" s="112">
        <f t="shared" si="127"/>
        <v>0</v>
      </c>
      <c r="H172" s="112">
        <f t="shared" si="128"/>
        <v>0</v>
      </c>
      <c r="I172" s="112">
        <f t="shared" si="129"/>
        <v>0</v>
      </c>
      <c r="J172" s="112">
        <f t="shared" si="130"/>
        <v>0</v>
      </c>
      <c r="K172" s="112">
        <f t="shared" si="131"/>
        <v>2607.154812502483</v>
      </c>
      <c r="L172" s="112">
        <f t="shared" si="132"/>
        <v>3981.8364409128826</v>
      </c>
      <c r="M172" s="112">
        <f t="shared" si="133"/>
        <v>5877.9490318237795</v>
      </c>
      <c r="N172" s="122">
        <v>39.2375</v>
      </c>
      <c r="O172" s="122">
        <v>240</v>
      </c>
      <c r="P172" s="122">
        <v>501.09375</v>
      </c>
      <c r="Q172" s="112">
        <f t="shared" si="134"/>
        <v>13258.583724920232</v>
      </c>
      <c r="R172" s="112">
        <f t="shared" si="135"/>
        <v>13247.271535239144</v>
      </c>
      <c r="T172" s="10">
        <v>0</v>
      </c>
      <c r="U172" s="10">
        <v>0</v>
      </c>
      <c r="V172" s="10">
        <v>0</v>
      </c>
      <c r="W172" s="10">
        <v>0</v>
      </c>
      <c r="X172" s="10">
        <v>19803.4461179698</v>
      </c>
      <c r="Y172" s="10">
        <v>19803.4461179698</v>
      </c>
    </row>
    <row r="173" spans="1:25" ht="14.25">
      <c r="A173" s="3"/>
      <c r="B173" s="3">
        <v>110</v>
      </c>
      <c r="C173" s="117" t="s">
        <v>313</v>
      </c>
      <c r="D173" s="113">
        <f t="shared" si="124"/>
        <v>0</v>
      </c>
      <c r="E173" s="113">
        <f t="shared" si="125"/>
        <v>0</v>
      </c>
      <c r="F173" s="112">
        <f t="shared" si="126"/>
        <v>0</v>
      </c>
      <c r="G173" s="112">
        <f t="shared" si="127"/>
        <v>0</v>
      </c>
      <c r="H173" s="112">
        <f t="shared" si="128"/>
        <v>0</v>
      </c>
      <c r="I173" s="112">
        <f t="shared" si="129"/>
        <v>0</v>
      </c>
      <c r="J173" s="112">
        <f t="shared" si="130"/>
        <v>0</v>
      </c>
      <c r="K173" s="112">
        <f t="shared" si="131"/>
        <v>3038.715887962715</v>
      </c>
      <c r="L173" s="112">
        <f t="shared" si="132"/>
        <v>4640.947901615783</v>
      </c>
      <c r="M173" s="112">
        <f t="shared" si="133"/>
        <v>6850.923092861393</v>
      </c>
      <c r="N173" s="122">
        <v>39.2375</v>
      </c>
      <c r="O173" s="122">
        <v>240</v>
      </c>
      <c r="P173" s="122">
        <v>501.09375</v>
      </c>
      <c r="Q173" s="112">
        <f t="shared" si="134"/>
        <v>15453.270677903258</v>
      </c>
      <c r="R173" s="112">
        <f t="shared" si="135"/>
        <v>15310.91813243989</v>
      </c>
      <c r="T173" s="10">
        <v>0</v>
      </c>
      <c r="U173" s="10">
        <v>0</v>
      </c>
      <c r="V173" s="10">
        <v>0</v>
      </c>
      <c r="W173" s="10">
        <v>0</v>
      </c>
      <c r="X173" s="10">
        <v>23081.5009781975</v>
      </c>
      <c r="Y173" s="10">
        <v>23081.5009781975</v>
      </c>
    </row>
    <row r="174" spans="1:25" ht="14.25">
      <c r="A174" s="3"/>
      <c r="B174" s="3">
        <v>111</v>
      </c>
      <c r="C174" s="117" t="s">
        <v>314</v>
      </c>
      <c r="D174" s="113">
        <f t="shared" si="124"/>
        <v>0</v>
      </c>
      <c r="E174" s="113">
        <f t="shared" si="125"/>
        <v>0</v>
      </c>
      <c r="F174" s="112">
        <f t="shared" si="126"/>
        <v>0</v>
      </c>
      <c r="G174" s="112">
        <f t="shared" si="127"/>
        <v>0</v>
      </c>
      <c r="H174" s="112">
        <f t="shared" si="128"/>
        <v>0</v>
      </c>
      <c r="I174" s="112">
        <f t="shared" si="129"/>
        <v>0</v>
      </c>
      <c r="J174" s="112">
        <f t="shared" si="130"/>
        <v>0</v>
      </c>
      <c r="K174" s="112">
        <f t="shared" si="131"/>
        <v>15817.332141173198</v>
      </c>
      <c r="L174" s="112">
        <f t="shared" si="132"/>
        <v>24157.379997428157</v>
      </c>
      <c r="M174" s="112">
        <f t="shared" si="133"/>
        <v>35660.89428191776</v>
      </c>
      <c r="N174" s="122">
        <v>39.2375</v>
      </c>
      <c r="O174" s="122">
        <v>240</v>
      </c>
      <c r="P174" s="122">
        <v>501.09375</v>
      </c>
      <c r="Q174" s="112">
        <f t="shared" si="134"/>
        <v>80438.42333141732</v>
      </c>
      <c r="R174" s="112">
        <f t="shared" si="135"/>
        <v>76415.93767051912</v>
      </c>
      <c r="T174" s="10">
        <v>0</v>
      </c>
      <c r="U174" s="10">
        <v>0</v>
      </c>
      <c r="V174" s="10">
        <v>0</v>
      </c>
      <c r="W174" s="10">
        <v>0</v>
      </c>
      <c r="X174" s="10">
        <v>120145.410347571</v>
      </c>
      <c r="Y174" s="10">
        <v>120145.410347571</v>
      </c>
    </row>
    <row r="175" spans="1:25" ht="14.25">
      <c r="A175" s="3">
        <v>8</v>
      </c>
      <c r="B175" s="3"/>
      <c r="C175" s="101" t="s">
        <v>78</v>
      </c>
      <c r="D175" s="112">
        <f aca="true" t="shared" si="136" ref="D175:R175">SUM(D166:D174)</f>
        <v>0</v>
      </c>
      <c r="E175" s="112">
        <f t="shared" si="136"/>
        <v>0</v>
      </c>
      <c r="F175" s="112">
        <f t="shared" si="136"/>
        <v>0</v>
      </c>
      <c r="G175" s="112">
        <f t="shared" si="136"/>
        <v>0</v>
      </c>
      <c r="H175" s="112">
        <f t="shared" si="136"/>
        <v>0</v>
      </c>
      <c r="I175" s="112">
        <f t="shared" si="136"/>
        <v>0</v>
      </c>
      <c r="J175" s="112">
        <f t="shared" si="136"/>
        <v>20380.983400060686</v>
      </c>
      <c r="K175" s="112">
        <f t="shared" si="136"/>
        <v>113319.19891737125</v>
      </c>
      <c r="L175" s="112">
        <f t="shared" si="136"/>
        <v>173069.3219828943</v>
      </c>
      <c r="M175" s="112">
        <f t="shared" si="136"/>
        <v>255483.28483189156</v>
      </c>
      <c r="N175" s="112">
        <f t="shared" si="136"/>
        <v>313.90000000000003</v>
      </c>
      <c r="O175" s="112">
        <f t="shared" si="136"/>
        <v>1920</v>
      </c>
      <c r="P175" s="112">
        <f t="shared" si="136"/>
        <v>4008.75</v>
      </c>
      <c r="Q175" s="112">
        <f t="shared" si="136"/>
        <v>576280.3494759582</v>
      </c>
      <c r="R175" s="112">
        <f t="shared" si="136"/>
        <v>568495.4391322178</v>
      </c>
      <c r="T175" s="10">
        <v>0</v>
      </c>
      <c r="U175" s="10">
        <v>0</v>
      </c>
      <c r="V175" s="10">
        <v>0</v>
      </c>
      <c r="W175" s="10">
        <v>4727.03825471889</v>
      </c>
      <c r="X175" s="10">
        <v>860750.822747518</v>
      </c>
      <c r="Y175" s="10">
        <v>865477.861002237</v>
      </c>
    </row>
    <row r="176" spans="1:25" ht="14.25">
      <c r="A176" s="3"/>
      <c r="B176" s="3"/>
      <c r="C176" s="101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T176" s="10"/>
      <c r="U176" s="10"/>
      <c r="V176" s="10"/>
      <c r="W176" s="10"/>
      <c r="X176" s="10"/>
      <c r="Y176" s="10"/>
    </row>
    <row r="177" spans="1:25" ht="14.25">
      <c r="A177" s="3"/>
      <c r="B177" s="3"/>
      <c r="C177" s="117" t="s">
        <v>315</v>
      </c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T177" s="10"/>
      <c r="U177" s="10"/>
      <c r="V177" s="10"/>
      <c r="W177" s="10"/>
      <c r="X177" s="10"/>
      <c r="Y177" s="10"/>
    </row>
    <row r="178" spans="1:25" ht="14.25">
      <c r="A178" s="3">
        <v>1</v>
      </c>
      <c r="B178" s="3">
        <v>112</v>
      </c>
      <c r="C178" s="117" t="s">
        <v>316</v>
      </c>
      <c r="D178" s="113">
        <f>T178*$D$279/100</f>
        <v>0</v>
      </c>
      <c r="E178" s="113">
        <f>U178*$E$279/100</f>
        <v>0</v>
      </c>
      <c r="F178" s="112">
        <f>D178+E178</f>
        <v>0</v>
      </c>
      <c r="G178" s="112">
        <f>E178*$G$279/100</f>
        <v>0</v>
      </c>
      <c r="H178" s="112">
        <f>E178*$H$279/100</f>
        <v>0</v>
      </c>
      <c r="I178" s="112">
        <f>SUM(F178:H178)</f>
        <v>0</v>
      </c>
      <c r="J178" s="112">
        <f>W178*$J$279/100</f>
        <v>61321.720425252075</v>
      </c>
      <c r="K178" s="112">
        <f>Q178*$K$279/100</f>
        <v>5523.666412140656</v>
      </c>
      <c r="L178" s="112">
        <f>Q178*$L$279/100</f>
        <v>8436.14506581482</v>
      </c>
      <c r="M178" s="112">
        <f>Q178*$M$279/100</f>
        <v>12453.357001917115</v>
      </c>
      <c r="N178" s="122">
        <v>39.2375</v>
      </c>
      <c r="O178" s="122">
        <v>240</v>
      </c>
      <c r="P178" s="122">
        <v>501.09375</v>
      </c>
      <c r="Q178" s="112">
        <f>X178*$Q$279/100</f>
        <v>28090.38927903208</v>
      </c>
      <c r="R178" s="112">
        <f>I178+J178+K178+L178+M178+N178+O178+P178</f>
        <v>88515.22015512467</v>
      </c>
      <c r="T178" s="10">
        <v>0</v>
      </c>
      <c r="U178" s="10">
        <v>0</v>
      </c>
      <c r="V178" s="10">
        <v>0</v>
      </c>
      <c r="W178" s="10">
        <v>14222.5776158809</v>
      </c>
      <c r="X178" s="10">
        <v>41956.706844528</v>
      </c>
      <c r="Y178" s="10">
        <v>56180.284460409</v>
      </c>
    </row>
    <row r="179" spans="1:25" ht="14.25">
      <c r="A179" s="3"/>
      <c r="B179" s="3"/>
      <c r="C179" s="101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T179" s="10"/>
      <c r="U179" s="10"/>
      <c r="V179" s="10"/>
      <c r="W179" s="10"/>
      <c r="X179" s="10"/>
      <c r="Y179" s="10"/>
    </row>
    <row r="180" spans="1:25" ht="14.25">
      <c r="A180" s="3"/>
      <c r="B180" s="3"/>
      <c r="C180" s="117" t="s">
        <v>317</v>
      </c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T180" s="10"/>
      <c r="U180" s="10"/>
      <c r="V180" s="10"/>
      <c r="W180" s="10"/>
      <c r="X180" s="10"/>
      <c r="Y180" s="10"/>
    </row>
    <row r="181" spans="1:25" ht="14.25">
      <c r="A181" s="3">
        <v>1</v>
      </c>
      <c r="B181" s="3">
        <v>113</v>
      </c>
      <c r="C181" s="117" t="s">
        <v>318</v>
      </c>
      <c r="D181" s="113">
        <f>T181*$D$279/100</f>
        <v>0</v>
      </c>
      <c r="E181" s="113">
        <f>U181*$E$279/100</f>
        <v>0</v>
      </c>
      <c r="F181" s="112">
        <f>D181+E181</f>
        <v>0</v>
      </c>
      <c r="G181" s="112">
        <f>E181*$G$279/100</f>
        <v>0</v>
      </c>
      <c r="H181" s="112">
        <f>E181*$H$279/100</f>
        <v>0</v>
      </c>
      <c r="I181" s="112">
        <f>SUM(F181:H181)</f>
        <v>0</v>
      </c>
      <c r="J181" s="112">
        <f>W181*$J$279/100</f>
        <v>34320.53806172221</v>
      </c>
      <c r="K181" s="112">
        <f>Q181*$K$279/100</f>
        <v>9401.783586575018</v>
      </c>
      <c r="L181" s="112">
        <f>Q181*$L$279/100</f>
        <v>14359.087659496392</v>
      </c>
      <c r="M181" s="112">
        <f>Q181*$M$279/100</f>
        <v>21196.748449732768</v>
      </c>
      <c r="N181" s="122">
        <v>39.2375</v>
      </c>
      <c r="O181" s="122">
        <v>240</v>
      </c>
      <c r="P181" s="122">
        <v>501.09375</v>
      </c>
      <c r="Q181" s="112">
        <f>X181*$Q$279/100</f>
        <v>47812.40233545472</v>
      </c>
      <c r="R181" s="112">
        <f>I181+J181+K181+L181+M181+N181+O181+P181</f>
        <v>80058.48900752638</v>
      </c>
      <c r="T181" s="10">
        <v>0</v>
      </c>
      <c r="U181" s="10">
        <v>0</v>
      </c>
      <c r="V181" s="10">
        <v>0</v>
      </c>
      <c r="W181" s="10">
        <v>7960.09167741207</v>
      </c>
      <c r="X181" s="10">
        <v>71414.1384227347</v>
      </c>
      <c r="Y181" s="10">
        <v>79374.2301001468</v>
      </c>
    </row>
    <row r="182" spans="1:25" ht="14.25">
      <c r="A182" s="3"/>
      <c r="B182" s="3"/>
      <c r="C182" s="101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T182" s="10"/>
      <c r="U182" s="10"/>
      <c r="V182" s="10"/>
      <c r="W182" s="10"/>
      <c r="X182" s="10"/>
      <c r="Y182" s="10"/>
    </row>
    <row r="183" spans="1:25" ht="14.25">
      <c r="A183" s="3"/>
      <c r="B183" s="3"/>
      <c r="C183" s="117" t="s">
        <v>201</v>
      </c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T183" s="10"/>
      <c r="U183" s="10"/>
      <c r="V183" s="10"/>
      <c r="W183" s="10"/>
      <c r="X183" s="10"/>
      <c r="Y183" s="10"/>
    </row>
    <row r="184" spans="1:25" ht="14.25">
      <c r="A184" s="3"/>
      <c r="B184" s="3">
        <v>114</v>
      </c>
      <c r="C184" s="117" t="s">
        <v>319</v>
      </c>
      <c r="D184" s="113">
        <f>T184*$D$279/100</f>
        <v>0</v>
      </c>
      <c r="E184" s="113">
        <f>U184*$E$279/100</f>
        <v>0</v>
      </c>
      <c r="F184" s="112">
        <f>D184+E184</f>
        <v>0</v>
      </c>
      <c r="G184" s="112">
        <f>E184*$G$279/100</f>
        <v>0</v>
      </c>
      <c r="H184" s="112">
        <f>E184*$H$279/100</f>
        <v>0</v>
      </c>
      <c r="I184" s="112">
        <f>SUM(F184:H184)</f>
        <v>0</v>
      </c>
      <c r="J184" s="112">
        <f>W184*$J$279/100</f>
        <v>13824.045095000241</v>
      </c>
      <c r="K184" s="112">
        <f>Q184*$K$279/100</f>
        <v>2099.627465098893</v>
      </c>
      <c r="L184" s="112">
        <f>Q184*$L$279/100</f>
        <v>3206.7037648783094</v>
      </c>
      <c r="M184" s="112">
        <f>Q184*$M$279/100</f>
        <v>4733.705557677505</v>
      </c>
      <c r="N184" s="122">
        <v>39.2375</v>
      </c>
      <c r="O184" s="122">
        <v>240</v>
      </c>
      <c r="P184" s="122">
        <v>495</v>
      </c>
      <c r="Q184" s="112">
        <f>X184*$Q$279/100</f>
        <v>10677.573270163908</v>
      </c>
      <c r="R184" s="112">
        <f>I184+J184+K184+L184+M184+N184+O184+P184</f>
        <v>24638.319382654947</v>
      </c>
      <c r="T184" s="10">
        <v>0</v>
      </c>
      <c r="U184" s="10">
        <v>0</v>
      </c>
      <c r="V184" s="10">
        <v>0</v>
      </c>
      <c r="W184" s="10">
        <v>3206.26285377528</v>
      </c>
      <c r="X184" s="10">
        <v>15948.3660784167</v>
      </c>
      <c r="Y184" s="10">
        <v>19153.628932192</v>
      </c>
    </row>
    <row r="185" spans="1:25" ht="14.25">
      <c r="A185" s="3"/>
      <c r="B185" s="3">
        <v>115</v>
      </c>
      <c r="C185" s="117" t="s">
        <v>320</v>
      </c>
      <c r="D185" s="113">
        <f>T185*$D$279/100</f>
        <v>0</v>
      </c>
      <c r="E185" s="113">
        <f>U185*$E$279/100</f>
        <v>0</v>
      </c>
      <c r="F185" s="112">
        <f>D185+E185</f>
        <v>0</v>
      </c>
      <c r="G185" s="112">
        <f>E185*$G$279/100</f>
        <v>0</v>
      </c>
      <c r="H185" s="112">
        <f>E185*$H$279/100</f>
        <v>0</v>
      </c>
      <c r="I185" s="112">
        <f>SUM(F185:H185)</f>
        <v>0</v>
      </c>
      <c r="J185" s="112">
        <f>W185*$J$279/100</f>
        <v>2155.7878635438196</v>
      </c>
      <c r="K185" s="112">
        <f>Q185*$K$279/100</f>
        <v>65.82578600137505</v>
      </c>
      <c r="L185" s="112">
        <f>Q185*$L$279/100</f>
        <v>100.53392771119097</v>
      </c>
      <c r="M185" s="112">
        <f>Q185*$M$279/100</f>
        <v>148.40722662128192</v>
      </c>
      <c r="N185" s="122">
        <v>39.2375</v>
      </c>
      <c r="O185" s="122">
        <v>240</v>
      </c>
      <c r="P185" s="122">
        <v>495</v>
      </c>
      <c r="Q185" s="112">
        <f>X185*$Q$279/100</f>
        <v>334.7544575307348</v>
      </c>
      <c r="R185" s="112">
        <f>I185+J185+K185+L185+M185+N185+O185+P185</f>
        <v>3244.792303877668</v>
      </c>
      <c r="T185" s="10">
        <v>0</v>
      </c>
      <c r="U185" s="10">
        <v>0</v>
      </c>
      <c r="V185" s="10">
        <v>0</v>
      </c>
      <c r="W185" s="10">
        <v>500</v>
      </c>
      <c r="X185" s="10">
        <v>500</v>
      </c>
      <c r="Y185" s="10">
        <v>1000</v>
      </c>
    </row>
    <row r="186" spans="1:25" ht="14.25">
      <c r="A186" s="3"/>
      <c r="B186" s="3">
        <v>116</v>
      </c>
      <c r="C186" s="117" t="s">
        <v>273</v>
      </c>
      <c r="D186" s="113">
        <f>T186*$D$279/100</f>
        <v>0</v>
      </c>
      <c r="E186" s="113">
        <f>U186*$E$279/100</f>
        <v>0</v>
      </c>
      <c r="F186" s="112">
        <f>D186+E186</f>
        <v>0</v>
      </c>
      <c r="G186" s="112">
        <f>E186*$G$279/100</f>
        <v>0</v>
      </c>
      <c r="H186" s="112">
        <f>E186*$H$279/100</f>
        <v>0</v>
      </c>
      <c r="I186" s="112">
        <f>SUM(F186:H186)</f>
        <v>0</v>
      </c>
      <c r="J186" s="112">
        <f>W186*$J$279/100</f>
        <v>2155.7878635438196</v>
      </c>
      <c r="K186" s="112">
        <f>Q186*$K$279/100</f>
        <v>65.82578600137505</v>
      </c>
      <c r="L186" s="112">
        <f>Q186*$L$279/100</f>
        <v>100.53392771119097</v>
      </c>
      <c r="M186" s="112">
        <f>Q186*$M$279/100</f>
        <v>148.40722662128192</v>
      </c>
      <c r="N186" s="122">
        <v>39.2375</v>
      </c>
      <c r="O186" s="122">
        <v>240</v>
      </c>
      <c r="P186" s="122">
        <v>495</v>
      </c>
      <c r="Q186" s="112">
        <f>X186*$Q$279/100</f>
        <v>334.7544575307348</v>
      </c>
      <c r="R186" s="112">
        <f>I186+J186+K186+L186+M186+N186+O186+P186</f>
        <v>3244.792303877668</v>
      </c>
      <c r="T186" s="10">
        <v>0</v>
      </c>
      <c r="U186" s="10">
        <v>0</v>
      </c>
      <c r="V186" s="10">
        <v>0</v>
      </c>
      <c r="W186" s="10">
        <v>500</v>
      </c>
      <c r="X186" s="10">
        <v>500</v>
      </c>
      <c r="Y186" s="10">
        <v>1000</v>
      </c>
    </row>
    <row r="187" spans="1:25" ht="14.25">
      <c r="A187" s="3">
        <v>3</v>
      </c>
      <c r="B187" s="3"/>
      <c r="C187" s="101" t="s">
        <v>78</v>
      </c>
      <c r="D187" s="112">
        <f aca="true" t="shared" si="137" ref="D187:R187">SUM(D184:D186)</f>
        <v>0</v>
      </c>
      <c r="E187" s="112">
        <f t="shared" si="137"/>
        <v>0</v>
      </c>
      <c r="F187" s="112">
        <f t="shared" si="137"/>
        <v>0</v>
      </c>
      <c r="G187" s="112">
        <f t="shared" si="137"/>
        <v>0</v>
      </c>
      <c r="H187" s="112">
        <f t="shared" si="137"/>
        <v>0</v>
      </c>
      <c r="I187" s="112">
        <f t="shared" si="137"/>
        <v>0</v>
      </c>
      <c r="J187" s="112">
        <f t="shared" si="137"/>
        <v>18135.62082208788</v>
      </c>
      <c r="K187" s="112">
        <f t="shared" si="137"/>
        <v>2231.279037101643</v>
      </c>
      <c r="L187" s="112">
        <f t="shared" si="137"/>
        <v>3407.771620300691</v>
      </c>
      <c r="M187" s="112">
        <f t="shared" si="137"/>
        <v>5030.520010920069</v>
      </c>
      <c r="N187" s="112">
        <f t="shared" si="137"/>
        <v>117.71249999999999</v>
      </c>
      <c r="O187" s="112">
        <f t="shared" si="137"/>
        <v>720</v>
      </c>
      <c r="P187" s="112">
        <f t="shared" si="137"/>
        <v>1485</v>
      </c>
      <c r="Q187" s="112">
        <f t="shared" si="137"/>
        <v>11347.082185225378</v>
      </c>
      <c r="R187" s="112">
        <f t="shared" si="137"/>
        <v>31127.903990410283</v>
      </c>
      <c r="T187" s="10">
        <v>0</v>
      </c>
      <c r="U187" s="10">
        <v>0</v>
      </c>
      <c r="V187" s="10">
        <v>0</v>
      </c>
      <c r="W187" s="10">
        <v>4206.26285377528</v>
      </c>
      <c r="X187" s="10">
        <v>16948.3660784167</v>
      </c>
      <c r="Y187" s="10">
        <v>21153.628932192</v>
      </c>
    </row>
    <row r="188" spans="1:25" ht="14.25">
      <c r="A188" s="3"/>
      <c r="B188" s="3"/>
      <c r="C188" s="101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T188" s="10"/>
      <c r="U188" s="10"/>
      <c r="V188" s="10"/>
      <c r="W188" s="10"/>
      <c r="X188" s="10"/>
      <c r="Y188" s="10"/>
    </row>
    <row r="189" spans="1:25" ht="14.25">
      <c r="A189" s="3">
        <v>1</v>
      </c>
      <c r="B189" s="3">
        <v>117</v>
      </c>
      <c r="C189" s="117" t="s">
        <v>321</v>
      </c>
      <c r="D189" s="113">
        <f>T189*$D$279/100</f>
        <v>0</v>
      </c>
      <c r="E189" s="113">
        <f>U189*$E$279/100</f>
        <v>0</v>
      </c>
      <c r="F189" s="112">
        <f>D189+E189</f>
        <v>0</v>
      </c>
      <c r="G189" s="112">
        <f>E189*$G$279/100</f>
        <v>0</v>
      </c>
      <c r="H189" s="112">
        <f>E189*$H$279/100</f>
        <v>0</v>
      </c>
      <c r="I189" s="112">
        <f>SUM(F189:H189)</f>
        <v>0</v>
      </c>
      <c r="J189" s="112">
        <f>W189*$J$279/100</f>
        <v>181652.47509389318</v>
      </c>
      <c r="K189" s="112">
        <f>Q189*$K$279/100</f>
        <v>5279.127698670473</v>
      </c>
      <c r="L189" s="112">
        <f>Q189*$L$279/100</f>
        <v>8062.667757969449</v>
      </c>
      <c r="M189" s="112">
        <f>Q189*$M$279/100</f>
        <v>11902.033357002521</v>
      </c>
      <c r="N189" s="122">
        <v>39.2375</v>
      </c>
      <c r="O189" s="122">
        <v>240</v>
      </c>
      <c r="P189" s="122">
        <v>495</v>
      </c>
      <c r="Q189" s="112">
        <f>X189*$Q$279/100</f>
        <v>26846.797225740607</v>
      </c>
      <c r="R189" s="112">
        <f>I189+J189+K189+L189+M189+N189+O189+P189</f>
        <v>207670.54140753558</v>
      </c>
      <c r="T189" s="10">
        <v>0</v>
      </c>
      <c r="U189" s="10">
        <v>0</v>
      </c>
      <c r="V189" s="10">
        <v>0</v>
      </c>
      <c r="W189" s="10">
        <v>42131.3428296422</v>
      </c>
      <c r="X189" s="10">
        <v>40099.2378470057</v>
      </c>
      <c r="Y189" s="10">
        <v>82229.5806766479</v>
      </c>
    </row>
    <row r="190" spans="1:25" ht="14.25">
      <c r="A190" s="3"/>
      <c r="B190" s="3"/>
      <c r="C190" s="101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T190" s="10"/>
      <c r="U190" s="10"/>
      <c r="V190" s="10"/>
      <c r="W190" s="10"/>
      <c r="X190" s="10"/>
      <c r="Y190" s="10"/>
    </row>
    <row r="191" spans="1:25" ht="14.25">
      <c r="A191" s="3"/>
      <c r="B191" s="3"/>
      <c r="C191" s="117" t="s">
        <v>322</v>
      </c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T191" s="10"/>
      <c r="U191" s="10"/>
      <c r="V191" s="10"/>
      <c r="W191" s="10"/>
      <c r="X191" s="10"/>
      <c r="Y191" s="10"/>
    </row>
    <row r="192" spans="1:25" ht="14.25">
      <c r="A192" s="3">
        <v>1</v>
      </c>
      <c r="B192" s="3">
        <v>118</v>
      </c>
      <c r="C192" s="117" t="s">
        <v>323</v>
      </c>
      <c r="D192" s="113">
        <f>T192*$D$279/100</f>
        <v>0</v>
      </c>
      <c r="E192" s="113">
        <f>U192*$E$279/100</f>
        <v>0</v>
      </c>
      <c r="F192" s="112">
        <f>D192+E192</f>
        <v>0</v>
      </c>
      <c r="G192" s="112">
        <f>E192*$G$279/100</f>
        <v>0</v>
      </c>
      <c r="H192" s="112">
        <f>E192*$H$279/100</f>
        <v>0</v>
      </c>
      <c r="I192" s="112">
        <f>SUM(F192:H192)</f>
        <v>0</v>
      </c>
      <c r="J192" s="112">
        <f>W192*$J$279/100</f>
        <v>522.8832764606358</v>
      </c>
      <c r="K192" s="112">
        <f>Q192*$K$279/100</f>
        <v>399.62975811919983</v>
      </c>
      <c r="L192" s="112">
        <f>Q192*$L$279/100</f>
        <v>610.3436305820507</v>
      </c>
      <c r="M192" s="112">
        <f>Q192*$M$279/100</f>
        <v>900.9834546687415</v>
      </c>
      <c r="N192" s="122">
        <v>39.2375</v>
      </c>
      <c r="O192" s="122">
        <v>240</v>
      </c>
      <c r="P192" s="122">
        <v>495</v>
      </c>
      <c r="Q192" s="112">
        <f>X192*$Q$279/100</f>
        <v>2032.3014888046607</v>
      </c>
      <c r="R192" s="112">
        <f>I192+J192+K192+L192+M192+N192+O192+P192</f>
        <v>3208.077619830628</v>
      </c>
      <c r="T192" s="10">
        <v>0</v>
      </c>
      <c r="U192" s="10">
        <v>0</v>
      </c>
      <c r="V192" s="10">
        <v>0</v>
      </c>
      <c r="W192" s="10">
        <v>121.274288</v>
      </c>
      <c r="X192" s="10">
        <v>3035.51072</v>
      </c>
      <c r="Y192" s="10">
        <v>3156.785008</v>
      </c>
    </row>
    <row r="193" spans="1:25" ht="14.25">
      <c r="A193" s="3"/>
      <c r="B193" s="3"/>
      <c r="C193" s="101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T193" s="10"/>
      <c r="U193" s="10"/>
      <c r="V193" s="10"/>
      <c r="W193" s="10"/>
      <c r="X193" s="10"/>
      <c r="Y193" s="10"/>
    </row>
    <row r="194" spans="1:25" ht="14.25">
      <c r="A194" s="3"/>
      <c r="B194" s="3"/>
      <c r="C194" s="101" t="s">
        <v>324</v>
      </c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T194" s="10"/>
      <c r="U194" s="10"/>
      <c r="V194" s="10"/>
      <c r="W194" s="10"/>
      <c r="X194" s="10"/>
      <c r="Y194" s="10"/>
    </row>
    <row r="195" spans="1:25" ht="14.25">
      <c r="A195" s="3"/>
      <c r="B195" s="3">
        <v>119</v>
      </c>
      <c r="C195" s="117" t="s">
        <v>323</v>
      </c>
      <c r="D195" s="113">
        <f>T195*$D$279/100</f>
        <v>0</v>
      </c>
      <c r="E195" s="113">
        <f>U195*$E$279/100</f>
        <v>0</v>
      </c>
      <c r="F195" s="112">
        <f>D195+E195</f>
        <v>0</v>
      </c>
      <c r="G195" s="112">
        <f>E195*$G$279/100</f>
        <v>0</v>
      </c>
      <c r="H195" s="112">
        <f>E195*$H$279/100</f>
        <v>0</v>
      </c>
      <c r="I195" s="112">
        <f>SUM(F195:H195)</f>
        <v>0</v>
      </c>
      <c r="J195" s="112">
        <f>W195*$J$279/100</f>
        <v>0</v>
      </c>
      <c r="K195" s="112">
        <f>Q195*$K$279/100</f>
        <v>999.0743952979994</v>
      </c>
      <c r="L195" s="112">
        <f>Q195*$L$279/100</f>
        <v>1525.8590764551263</v>
      </c>
      <c r="M195" s="112">
        <f>Q195*$M$279/100</f>
        <v>2252.458636671853</v>
      </c>
      <c r="N195" s="122">
        <v>39.2375</v>
      </c>
      <c r="O195" s="122">
        <v>240</v>
      </c>
      <c r="P195" s="122">
        <v>495</v>
      </c>
      <c r="Q195" s="112">
        <f>X195*$Q$279/100</f>
        <v>5080.753722011651</v>
      </c>
      <c r="R195" s="112">
        <f>I195+J195+K195+L195+M195+N195+O195+P195</f>
        <v>5551.629608424979</v>
      </c>
      <c r="T195" s="10">
        <v>0</v>
      </c>
      <c r="U195" s="10">
        <v>0</v>
      </c>
      <c r="V195" s="10">
        <v>0</v>
      </c>
      <c r="W195" s="10">
        <v>0</v>
      </c>
      <c r="X195" s="10">
        <v>7588.7768</v>
      </c>
      <c r="Y195" s="10">
        <v>7588.7768</v>
      </c>
    </row>
    <row r="196" spans="1:25" ht="14.25">
      <c r="A196" s="3"/>
      <c r="B196" s="3">
        <v>120</v>
      </c>
      <c r="C196" s="117" t="s">
        <v>273</v>
      </c>
      <c r="D196" s="113">
        <f>T196*$D$279/100</f>
        <v>0</v>
      </c>
      <c r="E196" s="113">
        <f>U196*$E$279/100</f>
        <v>0</v>
      </c>
      <c r="F196" s="112">
        <f>D196+E196</f>
        <v>0</v>
      </c>
      <c r="G196" s="112">
        <f>E196*$G$279/100</f>
        <v>0</v>
      </c>
      <c r="H196" s="112">
        <f>E196*$H$279/100</f>
        <v>0</v>
      </c>
      <c r="I196" s="112">
        <f>SUM(F196:H196)</f>
        <v>0</v>
      </c>
      <c r="J196" s="112">
        <f>W196*$J$279/100</f>
        <v>0</v>
      </c>
      <c r="K196" s="112">
        <f>Q196*$K$279/100</f>
        <v>499.5371976489997</v>
      </c>
      <c r="L196" s="112">
        <f>Q196*$L$279/100</f>
        <v>762.9295382275632</v>
      </c>
      <c r="M196" s="112">
        <f>Q196*$M$279/100</f>
        <v>1126.2293183359266</v>
      </c>
      <c r="N196" s="122">
        <v>39.2375</v>
      </c>
      <c r="O196" s="122">
        <v>240</v>
      </c>
      <c r="P196" s="122">
        <v>495</v>
      </c>
      <c r="Q196" s="112">
        <f>X196*$Q$279/100</f>
        <v>2540.3768610058255</v>
      </c>
      <c r="R196" s="112">
        <f>I196+J196+K196+L196+M196+N196+O196+P196</f>
        <v>3162.9335542124895</v>
      </c>
      <c r="T196" s="10">
        <v>0</v>
      </c>
      <c r="U196" s="10">
        <v>0</v>
      </c>
      <c r="V196" s="10">
        <v>0</v>
      </c>
      <c r="W196" s="10">
        <v>0</v>
      </c>
      <c r="X196" s="10">
        <v>3794.3884</v>
      </c>
      <c r="Y196" s="10">
        <v>3794.3884</v>
      </c>
    </row>
    <row r="197" spans="1:25" ht="14.25">
      <c r="A197" s="3"/>
      <c r="B197" s="3">
        <v>121</v>
      </c>
      <c r="C197" s="117" t="s">
        <v>320</v>
      </c>
      <c r="D197" s="113">
        <f>T197*$D$279/100</f>
        <v>0</v>
      </c>
      <c r="E197" s="113">
        <f>U197*$E$279/100</f>
        <v>0</v>
      </c>
      <c r="F197" s="112">
        <f>D197+E197</f>
        <v>0</v>
      </c>
      <c r="G197" s="112">
        <f>E197*$G$279/100</f>
        <v>0</v>
      </c>
      <c r="H197" s="112">
        <f>E197*$H$279/100</f>
        <v>0</v>
      </c>
      <c r="I197" s="112">
        <f>SUM(F197:H197)</f>
        <v>0</v>
      </c>
      <c r="J197" s="112">
        <f>W197*$J$279/100</f>
        <v>0</v>
      </c>
      <c r="K197" s="112">
        <f>Q197*$K$279/100</f>
        <v>499.5371976489997</v>
      </c>
      <c r="L197" s="112">
        <f>Q197*$L$279/100</f>
        <v>762.9295382275632</v>
      </c>
      <c r="M197" s="112">
        <f>Q197*$M$279/100</f>
        <v>1126.2293183359266</v>
      </c>
      <c r="N197" s="122">
        <v>39.2375</v>
      </c>
      <c r="O197" s="122">
        <v>240</v>
      </c>
      <c r="P197" s="122">
        <v>495</v>
      </c>
      <c r="Q197" s="112">
        <f>X197*$Q$279/100</f>
        <v>2540.3768610058255</v>
      </c>
      <c r="R197" s="112">
        <f>I197+J197+K197+L197+M197+N197+O197+P197</f>
        <v>3162.9335542124895</v>
      </c>
      <c r="T197" s="10">
        <v>0</v>
      </c>
      <c r="U197" s="10">
        <v>0</v>
      </c>
      <c r="V197" s="10">
        <v>0</v>
      </c>
      <c r="W197" s="10">
        <v>0</v>
      </c>
      <c r="X197" s="10">
        <v>3794.3884</v>
      </c>
      <c r="Y197" s="10">
        <v>3794.3884</v>
      </c>
    </row>
    <row r="198" spans="1:25" ht="14.25">
      <c r="A198" s="3"/>
      <c r="B198" s="3">
        <v>122</v>
      </c>
      <c r="C198" s="117" t="s">
        <v>325</v>
      </c>
      <c r="D198" s="113">
        <f>T198*$D$279/100</f>
        <v>0</v>
      </c>
      <c r="E198" s="113">
        <f>U198*$E$279/100</f>
        <v>0</v>
      </c>
      <c r="F198" s="112">
        <f>D198+E198</f>
        <v>0</v>
      </c>
      <c r="G198" s="112">
        <f>E198*$G$279/100</f>
        <v>0</v>
      </c>
      <c r="H198" s="112">
        <f>E198*$H$279/100</f>
        <v>0</v>
      </c>
      <c r="I198" s="112">
        <f>SUM(F198:H198)</f>
        <v>0</v>
      </c>
      <c r="J198" s="112">
        <f>W198*$J$279/100</f>
        <v>522.8832764606358</v>
      </c>
      <c r="K198" s="112">
        <f>Q198*$K$279/100</f>
        <v>399.62975811919983</v>
      </c>
      <c r="L198" s="112">
        <f>Q198*$L$279/100</f>
        <v>610.3436305820507</v>
      </c>
      <c r="M198" s="112">
        <f>Q198*$M$279/100</f>
        <v>900.9834546687415</v>
      </c>
      <c r="N198" s="122">
        <v>39.2375</v>
      </c>
      <c r="O198" s="122">
        <v>240</v>
      </c>
      <c r="P198" s="122">
        <v>495</v>
      </c>
      <c r="Q198" s="112">
        <f>X198*$Q$279/100</f>
        <v>2032.3014888046607</v>
      </c>
      <c r="R198" s="112">
        <f>I198+J198+K198+L198+M198+N198+O198+P198</f>
        <v>3208.077619830628</v>
      </c>
      <c r="T198" s="10">
        <v>0</v>
      </c>
      <c r="U198" s="10">
        <v>0</v>
      </c>
      <c r="V198" s="10">
        <v>0</v>
      </c>
      <c r="W198" s="10">
        <v>121.274288</v>
      </c>
      <c r="X198" s="10">
        <v>3035.51072</v>
      </c>
      <c r="Y198" s="10">
        <v>3156.785008</v>
      </c>
    </row>
    <row r="199" spans="1:25" ht="14.25">
      <c r="A199" s="3"/>
      <c r="B199" s="3">
        <v>123</v>
      </c>
      <c r="C199" s="117" t="s">
        <v>235</v>
      </c>
      <c r="D199" s="113">
        <f>T199*$D$279/100</f>
        <v>0</v>
      </c>
      <c r="E199" s="113">
        <f>U199*$E$279/100</f>
        <v>0</v>
      </c>
      <c r="F199" s="112">
        <f>D199+E199</f>
        <v>0</v>
      </c>
      <c r="G199" s="112">
        <f>E199*$G$279/100</f>
        <v>0</v>
      </c>
      <c r="H199" s="112">
        <f>E199*$H$279/100</f>
        <v>0</v>
      </c>
      <c r="I199" s="112">
        <f>SUM(F199:H199)</f>
        <v>0</v>
      </c>
      <c r="J199" s="112">
        <f>W199*$J$279/100</f>
        <v>522.8832764606358</v>
      </c>
      <c r="K199" s="112">
        <f>Q199*$K$279/100</f>
        <v>399.62975811919983</v>
      </c>
      <c r="L199" s="112">
        <f>Q199*$L$279/100</f>
        <v>610.3436305820507</v>
      </c>
      <c r="M199" s="112">
        <f>Q199*$M$279/100</f>
        <v>900.9834546687415</v>
      </c>
      <c r="N199" s="122">
        <v>39.2375</v>
      </c>
      <c r="O199" s="122">
        <v>240</v>
      </c>
      <c r="P199" s="122">
        <v>495</v>
      </c>
      <c r="Q199" s="112">
        <f>X199*$Q$279/100</f>
        <v>2032.3014888046607</v>
      </c>
      <c r="R199" s="112">
        <f>I199+J199+K199+L199+M199+N199+O199+P199</f>
        <v>3208.077619830628</v>
      </c>
      <c r="T199" s="10">
        <v>0</v>
      </c>
      <c r="U199" s="10">
        <v>0</v>
      </c>
      <c r="V199" s="10">
        <v>0</v>
      </c>
      <c r="W199" s="10">
        <v>121.274288</v>
      </c>
      <c r="X199" s="10">
        <v>3035.51072</v>
      </c>
      <c r="Y199" s="10">
        <v>3156.785008</v>
      </c>
    </row>
    <row r="200" spans="1:25" ht="14.25">
      <c r="A200" s="3">
        <v>5</v>
      </c>
      <c r="B200" s="3"/>
      <c r="C200" s="101" t="s">
        <v>78</v>
      </c>
      <c r="D200" s="112">
        <f aca="true" t="shared" si="138" ref="D200:R200">SUM(D195:D199)</f>
        <v>0</v>
      </c>
      <c r="E200" s="112">
        <f t="shared" si="138"/>
        <v>0</v>
      </c>
      <c r="F200" s="112">
        <f t="shared" si="138"/>
        <v>0</v>
      </c>
      <c r="G200" s="112">
        <f t="shared" si="138"/>
        <v>0</v>
      </c>
      <c r="H200" s="112">
        <f t="shared" si="138"/>
        <v>0</v>
      </c>
      <c r="I200" s="112">
        <f t="shared" si="138"/>
        <v>0</v>
      </c>
      <c r="J200" s="112">
        <f t="shared" si="138"/>
        <v>1045.7665529212716</v>
      </c>
      <c r="K200" s="112">
        <f t="shared" si="138"/>
        <v>2797.4083068343984</v>
      </c>
      <c r="L200" s="112">
        <f t="shared" si="138"/>
        <v>4272.405414074354</v>
      </c>
      <c r="M200" s="112">
        <f t="shared" si="138"/>
        <v>6306.8841826811895</v>
      </c>
      <c r="N200" s="112">
        <f t="shared" si="138"/>
        <v>196.1875</v>
      </c>
      <c r="O200" s="112">
        <f t="shared" si="138"/>
        <v>1200</v>
      </c>
      <c r="P200" s="112">
        <f t="shared" si="138"/>
        <v>2475</v>
      </c>
      <c r="Q200" s="112">
        <f t="shared" si="138"/>
        <v>14226.110421632624</v>
      </c>
      <c r="R200" s="112">
        <f t="shared" si="138"/>
        <v>18293.651956511214</v>
      </c>
      <c r="T200" s="10">
        <v>0</v>
      </c>
      <c r="U200" s="10">
        <v>0</v>
      </c>
      <c r="V200" s="10">
        <v>0</v>
      </c>
      <c r="W200" s="10">
        <v>241.548576</v>
      </c>
      <c r="X200" s="10">
        <v>21248.57504</v>
      </c>
      <c r="Y200" s="10">
        <v>21491.123616</v>
      </c>
    </row>
    <row r="201" spans="1:25" ht="14.25">
      <c r="A201" s="3"/>
      <c r="B201" s="3"/>
      <c r="C201" s="101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T201" s="10"/>
      <c r="U201" s="10"/>
      <c r="V201" s="10"/>
      <c r="W201" s="10"/>
      <c r="X201" s="10"/>
      <c r="Y201" s="10"/>
    </row>
    <row r="202" spans="1:25" ht="14.25">
      <c r="A202" s="3"/>
      <c r="B202" s="3"/>
      <c r="C202" s="101" t="s">
        <v>326</v>
      </c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23"/>
      <c r="O202" s="123"/>
      <c r="P202" s="123"/>
      <c r="Q202" s="112"/>
      <c r="R202" s="112"/>
      <c r="T202" s="10"/>
      <c r="U202" s="10"/>
      <c r="V202" s="10"/>
      <c r="W202" s="10"/>
      <c r="X202" s="10"/>
      <c r="Y202" s="10"/>
    </row>
    <row r="203" spans="1:25" ht="14.25">
      <c r="A203" s="3"/>
      <c r="B203" s="3">
        <v>124</v>
      </c>
      <c r="C203" s="117" t="s">
        <v>327</v>
      </c>
      <c r="D203" s="113">
        <f aca="true" t="shared" si="139" ref="D203:D219">T203*$D$279/100</f>
        <v>270.01689998558084</v>
      </c>
      <c r="E203" s="113">
        <f aca="true" t="shared" si="140" ref="E203:E219">U203*$E$279/100</f>
        <v>1424.1649110637763</v>
      </c>
      <c r="F203" s="112">
        <f aca="true" t="shared" si="141" ref="F203:F219">D203+E203</f>
        <v>1694.1818110493573</v>
      </c>
      <c r="G203" s="112">
        <f aca="true" t="shared" si="142" ref="G203:G219">E203*$G$279/100</f>
        <v>172.39039419709806</v>
      </c>
      <c r="H203" s="112">
        <f aca="true" t="shared" si="143" ref="H203:H219">E203*$H$279/100</f>
        <v>161.46792560945894</v>
      </c>
      <c r="I203" s="112">
        <f aca="true" t="shared" si="144" ref="I203:I219">SUM(F203:H203)</f>
        <v>2028.0401308559144</v>
      </c>
      <c r="J203" s="112">
        <f aca="true" t="shared" si="145" ref="J203:J219">W203*$J$279/100</f>
        <v>3339.2571672415784</v>
      </c>
      <c r="K203" s="112">
        <f aca="true" t="shared" si="146" ref="K203:K219">Q203*$K$279/100</f>
        <v>232.02208358076132</v>
      </c>
      <c r="L203" s="112">
        <f aca="true" t="shared" si="147" ref="L203:L219">Q203*$L$279/100</f>
        <v>354.36100037789004</v>
      </c>
      <c r="M203" s="119">
        <f aca="true" t="shared" si="148" ref="M203:M219">Q203*$M$279/100</f>
        <v>523.104333891171</v>
      </c>
      <c r="N203" s="119">
        <v>39.2375</v>
      </c>
      <c r="O203" s="131">
        <v>240</v>
      </c>
      <c r="P203" s="131">
        <v>495</v>
      </c>
      <c r="Q203" s="120">
        <f aca="true" t="shared" si="149" ref="Q203:Q219">X203*$Q$279/100</f>
        <v>1179.939222033841</v>
      </c>
      <c r="R203" s="112">
        <f aca="true" t="shared" si="150" ref="R203:R219">I203+J203+K203+L203+M203+N203+O203+P203</f>
        <v>7251.022215947316</v>
      </c>
      <c r="T203" s="10">
        <v>300</v>
      </c>
      <c r="U203" s="10">
        <v>1600</v>
      </c>
      <c r="V203" s="10">
        <v>1900</v>
      </c>
      <c r="W203" s="10">
        <v>774.486493711004</v>
      </c>
      <c r="X203" s="10">
        <v>1762.39508614386</v>
      </c>
      <c r="Y203" s="10">
        <v>4435.88157985486</v>
      </c>
    </row>
    <row r="204" spans="1:25" ht="14.25">
      <c r="A204" s="3"/>
      <c r="B204" s="3">
        <v>125</v>
      </c>
      <c r="C204" s="117" t="s">
        <v>328</v>
      </c>
      <c r="D204" s="113">
        <f t="shared" si="139"/>
        <v>360.02253331410776</v>
      </c>
      <c r="E204" s="113">
        <f t="shared" si="140"/>
        <v>39.21447962302161</v>
      </c>
      <c r="F204" s="112">
        <f t="shared" si="141"/>
        <v>399.23701293712935</v>
      </c>
      <c r="G204" s="112">
        <f t="shared" si="142"/>
        <v>4.746781463248698</v>
      </c>
      <c r="H204" s="112">
        <f t="shared" si="143"/>
        <v>4.446030532976771</v>
      </c>
      <c r="I204" s="112">
        <f t="shared" si="144"/>
        <v>408.42982493335484</v>
      </c>
      <c r="J204" s="112">
        <f t="shared" si="145"/>
        <v>0</v>
      </c>
      <c r="K204" s="112">
        <f t="shared" si="146"/>
        <v>870.0828134278544</v>
      </c>
      <c r="L204" s="112">
        <f t="shared" si="147"/>
        <v>1328.8537514170866</v>
      </c>
      <c r="M204" s="119">
        <f t="shared" si="148"/>
        <v>1961.64125209189</v>
      </c>
      <c r="N204" s="119">
        <v>39.2375</v>
      </c>
      <c r="O204" s="131">
        <v>240</v>
      </c>
      <c r="P204" s="131">
        <v>495</v>
      </c>
      <c r="Q204" s="120">
        <f t="shared" si="149"/>
        <v>4424.772082626901</v>
      </c>
      <c r="R204" s="112">
        <f t="shared" si="150"/>
        <v>5343.245141870186</v>
      </c>
      <c r="T204" s="10">
        <v>400</v>
      </c>
      <c r="U204" s="10">
        <v>44.0561109948768</v>
      </c>
      <c r="V204" s="10">
        <v>444.056110994877</v>
      </c>
      <c r="W204" s="10">
        <v>0</v>
      </c>
      <c r="X204" s="10">
        <v>6608.98157303947</v>
      </c>
      <c r="Y204" s="10">
        <v>7054.03768403435</v>
      </c>
    </row>
    <row r="205" spans="1:25" ht="14.25">
      <c r="A205" s="3"/>
      <c r="B205" s="3">
        <v>126</v>
      </c>
      <c r="C205" s="117" t="s">
        <v>273</v>
      </c>
      <c r="D205" s="113">
        <f t="shared" si="139"/>
        <v>0</v>
      </c>
      <c r="E205" s="113">
        <f t="shared" si="140"/>
        <v>0</v>
      </c>
      <c r="F205" s="112">
        <f t="shared" si="141"/>
        <v>0</v>
      </c>
      <c r="G205" s="112">
        <f t="shared" si="142"/>
        <v>0</v>
      </c>
      <c r="H205" s="112">
        <f t="shared" si="143"/>
        <v>0</v>
      </c>
      <c r="I205" s="112">
        <f t="shared" si="144"/>
        <v>0</v>
      </c>
      <c r="J205" s="112">
        <f t="shared" si="145"/>
        <v>0</v>
      </c>
      <c r="K205" s="112">
        <f t="shared" si="146"/>
        <v>773.4069452692045</v>
      </c>
      <c r="L205" s="112">
        <f t="shared" si="147"/>
        <v>1181.203334592967</v>
      </c>
      <c r="M205" s="119">
        <f t="shared" si="148"/>
        <v>1743.6811129705702</v>
      </c>
      <c r="N205" s="119">
        <v>39.2375</v>
      </c>
      <c r="O205" s="131">
        <v>240</v>
      </c>
      <c r="P205" s="131">
        <v>495</v>
      </c>
      <c r="Q205" s="120">
        <f t="shared" si="149"/>
        <v>3933.1307401128033</v>
      </c>
      <c r="R205" s="112">
        <f t="shared" si="150"/>
        <v>4472.528892832742</v>
      </c>
      <c r="T205" s="10">
        <v>0</v>
      </c>
      <c r="U205" s="10">
        <v>0</v>
      </c>
      <c r="V205" s="10">
        <v>0</v>
      </c>
      <c r="W205" s="10">
        <v>0</v>
      </c>
      <c r="X205" s="10">
        <v>5874.6502871462</v>
      </c>
      <c r="Y205" s="10">
        <v>5874.6502871462</v>
      </c>
    </row>
    <row r="206" spans="1:25" ht="14.25">
      <c r="A206" s="3"/>
      <c r="B206" s="3">
        <v>127</v>
      </c>
      <c r="C206" s="117" t="s">
        <v>235</v>
      </c>
      <c r="D206" s="113">
        <f t="shared" si="139"/>
        <v>270.01689998558084</v>
      </c>
      <c r="E206" s="113">
        <f t="shared" si="140"/>
        <v>0</v>
      </c>
      <c r="F206" s="112">
        <f t="shared" si="141"/>
        <v>270.01689998558084</v>
      </c>
      <c r="G206" s="112">
        <f t="shared" si="142"/>
        <v>0</v>
      </c>
      <c r="H206" s="112">
        <f t="shared" si="143"/>
        <v>0</v>
      </c>
      <c r="I206" s="112">
        <f t="shared" si="144"/>
        <v>270.01689998558084</v>
      </c>
      <c r="J206" s="112">
        <f t="shared" si="145"/>
        <v>1045.7665529212716</v>
      </c>
      <c r="K206" s="112">
        <f t="shared" si="146"/>
        <v>499.5371976489997</v>
      </c>
      <c r="L206" s="112">
        <f t="shared" si="147"/>
        <v>762.9295382275632</v>
      </c>
      <c r="M206" s="119">
        <f t="shared" si="148"/>
        <v>1126.2293183359266</v>
      </c>
      <c r="N206" s="119">
        <v>39.2375</v>
      </c>
      <c r="O206" s="131">
        <v>240</v>
      </c>
      <c r="P206" s="131">
        <v>495</v>
      </c>
      <c r="Q206" s="120">
        <f t="shared" si="149"/>
        <v>2540.3768610058255</v>
      </c>
      <c r="R206" s="112">
        <f t="shared" si="150"/>
        <v>4478.717007119341</v>
      </c>
      <c r="T206" s="10">
        <v>300</v>
      </c>
      <c r="U206" s="10">
        <v>0</v>
      </c>
      <c r="V206" s="10">
        <v>300</v>
      </c>
      <c r="W206" s="10">
        <v>242.548576</v>
      </c>
      <c r="X206" s="10">
        <v>3794.3884</v>
      </c>
      <c r="Y206" s="10">
        <v>4336.936976</v>
      </c>
    </row>
    <row r="207" spans="1:25" ht="14.25">
      <c r="A207" s="3"/>
      <c r="B207" s="3">
        <v>128</v>
      </c>
      <c r="C207" s="117" t="s">
        <v>329</v>
      </c>
      <c r="D207" s="113">
        <f t="shared" si="139"/>
        <v>0</v>
      </c>
      <c r="E207" s="113">
        <f t="shared" si="140"/>
        <v>363.1620523212629</v>
      </c>
      <c r="F207" s="112">
        <f t="shared" si="141"/>
        <v>363.1620523212629</v>
      </c>
      <c r="G207" s="112">
        <f t="shared" si="142"/>
        <v>43.95955052026</v>
      </c>
      <c r="H207" s="112">
        <f t="shared" si="143"/>
        <v>41.17432103041202</v>
      </c>
      <c r="I207" s="112">
        <f t="shared" si="144"/>
        <v>448.29592387193486</v>
      </c>
      <c r="J207" s="112">
        <f t="shared" si="145"/>
        <v>1045.7665529212716</v>
      </c>
      <c r="K207" s="112">
        <f t="shared" si="146"/>
        <v>999.0743952979994</v>
      </c>
      <c r="L207" s="112">
        <f t="shared" si="147"/>
        <v>1525.8590764551263</v>
      </c>
      <c r="M207" s="119">
        <f t="shared" si="148"/>
        <v>2252.458636671853</v>
      </c>
      <c r="N207" s="119">
        <v>39.2375</v>
      </c>
      <c r="O207" s="131">
        <v>240</v>
      </c>
      <c r="P207" s="131">
        <v>495</v>
      </c>
      <c r="Q207" s="120">
        <f t="shared" si="149"/>
        <v>5080.753722011651</v>
      </c>
      <c r="R207" s="112">
        <f t="shared" si="150"/>
        <v>7045.692085218186</v>
      </c>
      <c r="T207" s="10">
        <v>0</v>
      </c>
      <c r="U207" s="10">
        <v>408</v>
      </c>
      <c r="V207" s="10">
        <v>408</v>
      </c>
      <c r="W207" s="10">
        <v>242.548576</v>
      </c>
      <c r="X207" s="10">
        <v>7588.7768</v>
      </c>
      <c r="Y207" s="10">
        <v>8240.325376</v>
      </c>
    </row>
    <row r="208" spans="1:25" ht="14.25">
      <c r="A208" s="3"/>
      <c r="B208" s="3">
        <v>129</v>
      </c>
      <c r="C208" s="117" t="s">
        <v>330</v>
      </c>
      <c r="D208" s="113">
        <f t="shared" si="139"/>
        <v>0</v>
      </c>
      <c r="E208" s="113">
        <f t="shared" si="140"/>
        <v>0</v>
      </c>
      <c r="F208" s="112">
        <f t="shared" si="141"/>
        <v>0</v>
      </c>
      <c r="G208" s="112">
        <f t="shared" si="142"/>
        <v>0</v>
      </c>
      <c r="H208" s="112">
        <f t="shared" si="143"/>
        <v>0</v>
      </c>
      <c r="I208" s="112">
        <f t="shared" si="144"/>
        <v>0</v>
      </c>
      <c r="J208" s="112">
        <f t="shared" si="145"/>
        <v>1045.7665529212716</v>
      </c>
      <c r="K208" s="112">
        <f t="shared" si="146"/>
        <v>351.4595904694602</v>
      </c>
      <c r="L208" s="112">
        <f t="shared" si="147"/>
        <v>536.7746472624483</v>
      </c>
      <c r="M208" s="119">
        <f t="shared" si="148"/>
        <v>792.3816221493285</v>
      </c>
      <c r="N208" s="119">
        <v>39.2375</v>
      </c>
      <c r="O208" s="131">
        <v>240</v>
      </c>
      <c r="P208" s="131">
        <v>495</v>
      </c>
      <c r="Q208" s="120">
        <f t="shared" si="149"/>
        <v>1787.3339871569583</v>
      </c>
      <c r="R208" s="112">
        <f t="shared" si="150"/>
        <v>3500.6199128025087</v>
      </c>
      <c r="T208" s="10">
        <v>0</v>
      </c>
      <c r="U208" s="10">
        <v>0</v>
      </c>
      <c r="V208" s="10">
        <v>0</v>
      </c>
      <c r="W208" s="10">
        <v>242.548576</v>
      </c>
      <c r="X208" s="10">
        <v>2669.61939856</v>
      </c>
      <c r="Y208" s="10">
        <v>2913.16797456</v>
      </c>
    </row>
    <row r="209" spans="1:25" ht="14.25">
      <c r="A209" s="3"/>
      <c r="B209" s="3">
        <v>130</v>
      </c>
      <c r="C209" s="117" t="s">
        <v>331</v>
      </c>
      <c r="D209" s="113">
        <f t="shared" si="139"/>
        <v>0</v>
      </c>
      <c r="E209" s="113">
        <f t="shared" si="140"/>
        <v>0</v>
      </c>
      <c r="F209" s="112">
        <f t="shared" si="141"/>
        <v>0</v>
      </c>
      <c r="G209" s="112">
        <f t="shared" si="142"/>
        <v>0</v>
      </c>
      <c r="H209" s="112">
        <f t="shared" si="143"/>
        <v>0</v>
      </c>
      <c r="I209" s="112">
        <f t="shared" si="144"/>
        <v>0</v>
      </c>
      <c r="J209" s="112">
        <f t="shared" si="145"/>
        <v>1045.7665529212716</v>
      </c>
      <c r="K209" s="112">
        <f t="shared" si="146"/>
        <v>499.5371976489997</v>
      </c>
      <c r="L209" s="112">
        <f t="shared" si="147"/>
        <v>762.9295382275632</v>
      </c>
      <c r="M209" s="119">
        <f t="shared" si="148"/>
        <v>1126.2293183359266</v>
      </c>
      <c r="N209" s="119">
        <v>39.2375</v>
      </c>
      <c r="O209" s="131">
        <v>240</v>
      </c>
      <c r="P209" s="131">
        <v>495</v>
      </c>
      <c r="Q209" s="120">
        <f t="shared" si="149"/>
        <v>2540.3768610058255</v>
      </c>
      <c r="R209" s="112">
        <f t="shared" si="150"/>
        <v>4208.700107133762</v>
      </c>
      <c r="T209" s="10">
        <v>0</v>
      </c>
      <c r="U209" s="10">
        <v>0</v>
      </c>
      <c r="V209" s="10">
        <v>0</v>
      </c>
      <c r="W209" s="10">
        <v>242.548576</v>
      </c>
      <c r="X209" s="10">
        <v>3794.3884</v>
      </c>
      <c r="Y209" s="10">
        <v>4036.936976</v>
      </c>
    </row>
    <row r="210" spans="1:25" ht="14.25">
      <c r="A210" s="3"/>
      <c r="B210" s="3">
        <v>131</v>
      </c>
      <c r="C210" s="117" t="s">
        <v>332</v>
      </c>
      <c r="D210" s="113">
        <f t="shared" si="139"/>
        <v>0</v>
      </c>
      <c r="E210" s="113">
        <f t="shared" si="140"/>
        <v>0</v>
      </c>
      <c r="F210" s="112">
        <f t="shared" si="141"/>
        <v>0</v>
      </c>
      <c r="G210" s="112">
        <f t="shared" si="142"/>
        <v>0</v>
      </c>
      <c r="H210" s="112">
        <f t="shared" si="143"/>
        <v>0</v>
      </c>
      <c r="I210" s="112">
        <f t="shared" si="144"/>
        <v>0</v>
      </c>
      <c r="J210" s="112">
        <f t="shared" si="145"/>
        <v>1045.7665529212716</v>
      </c>
      <c r="K210" s="112">
        <f t="shared" si="146"/>
        <v>499.5371976489997</v>
      </c>
      <c r="L210" s="112">
        <f t="shared" si="147"/>
        <v>762.9295382275632</v>
      </c>
      <c r="M210" s="119">
        <f t="shared" si="148"/>
        <v>1126.2293183359266</v>
      </c>
      <c r="N210" s="119">
        <v>39.2375</v>
      </c>
      <c r="O210" s="131">
        <v>240</v>
      </c>
      <c r="P210" s="131">
        <v>495</v>
      </c>
      <c r="Q210" s="120">
        <f t="shared" si="149"/>
        <v>2540.3768610058255</v>
      </c>
      <c r="R210" s="112">
        <f t="shared" si="150"/>
        <v>4208.700107133762</v>
      </c>
      <c r="T210" s="10">
        <v>0</v>
      </c>
      <c r="U210" s="10">
        <v>0</v>
      </c>
      <c r="V210" s="10">
        <v>0</v>
      </c>
      <c r="W210" s="10">
        <v>242.548576</v>
      </c>
      <c r="X210" s="10">
        <v>3794.3884</v>
      </c>
      <c r="Y210" s="10">
        <v>4036.936976</v>
      </c>
    </row>
    <row r="211" spans="1:25" ht="14.25">
      <c r="A211" s="3"/>
      <c r="B211" s="3">
        <v>132</v>
      </c>
      <c r="C211" s="117" t="s">
        <v>218</v>
      </c>
      <c r="D211" s="113">
        <f t="shared" si="139"/>
        <v>0</v>
      </c>
      <c r="E211" s="113">
        <f t="shared" si="140"/>
        <v>178.02061388297204</v>
      </c>
      <c r="F211" s="112">
        <f t="shared" si="141"/>
        <v>178.02061388297204</v>
      </c>
      <c r="G211" s="112">
        <f t="shared" si="142"/>
        <v>21.548799274637258</v>
      </c>
      <c r="H211" s="112">
        <f t="shared" si="143"/>
        <v>20.183490701182368</v>
      </c>
      <c r="I211" s="112">
        <f t="shared" si="144"/>
        <v>219.75290385879168</v>
      </c>
      <c r="J211" s="112">
        <f t="shared" si="145"/>
        <v>1045.7665529212716</v>
      </c>
      <c r="K211" s="112">
        <f t="shared" si="146"/>
        <v>499.5371976489997</v>
      </c>
      <c r="L211" s="112">
        <f t="shared" si="147"/>
        <v>762.9295382275632</v>
      </c>
      <c r="M211" s="119">
        <f t="shared" si="148"/>
        <v>1126.2293183359266</v>
      </c>
      <c r="N211" s="119">
        <v>39.2375</v>
      </c>
      <c r="O211" s="131">
        <v>240</v>
      </c>
      <c r="P211" s="131">
        <v>495</v>
      </c>
      <c r="Q211" s="120">
        <f t="shared" si="149"/>
        <v>2540.3768610058255</v>
      </c>
      <c r="R211" s="112">
        <f t="shared" si="150"/>
        <v>4428.453010992553</v>
      </c>
      <c r="T211" s="10">
        <v>0</v>
      </c>
      <c r="U211" s="10">
        <v>200</v>
      </c>
      <c r="V211" s="10">
        <v>200</v>
      </c>
      <c r="W211" s="10">
        <v>242.548576</v>
      </c>
      <c r="X211" s="10">
        <v>3794.3884</v>
      </c>
      <c r="Y211" s="10">
        <v>4236.936976</v>
      </c>
    </row>
    <row r="212" spans="1:25" ht="14.25">
      <c r="A212" s="3"/>
      <c r="B212" s="3">
        <v>133</v>
      </c>
      <c r="C212" s="101" t="s">
        <v>333</v>
      </c>
      <c r="D212" s="113">
        <f t="shared" si="139"/>
        <v>0</v>
      </c>
      <c r="E212" s="113">
        <f t="shared" si="140"/>
        <v>0</v>
      </c>
      <c r="F212" s="112">
        <f t="shared" si="141"/>
        <v>0</v>
      </c>
      <c r="G212" s="112">
        <f t="shared" si="142"/>
        <v>0</v>
      </c>
      <c r="H212" s="112">
        <f t="shared" si="143"/>
        <v>0</v>
      </c>
      <c r="I212" s="112">
        <f t="shared" si="144"/>
        <v>0</v>
      </c>
      <c r="J212" s="112">
        <f t="shared" si="145"/>
        <v>0</v>
      </c>
      <c r="K212" s="112">
        <f t="shared" si="146"/>
        <v>131.6515720027501</v>
      </c>
      <c r="L212" s="112">
        <f t="shared" si="147"/>
        <v>201.06785542238194</v>
      </c>
      <c r="M212" s="119">
        <f t="shared" si="148"/>
        <v>296.81445324256384</v>
      </c>
      <c r="N212" s="119">
        <v>39.2375</v>
      </c>
      <c r="O212" s="131">
        <v>240</v>
      </c>
      <c r="P212" s="131">
        <v>495</v>
      </c>
      <c r="Q212" s="120">
        <f t="shared" si="149"/>
        <v>669.5089150614696</v>
      </c>
      <c r="R212" s="112">
        <f t="shared" si="150"/>
        <v>1403.771380667696</v>
      </c>
      <c r="T212" s="10">
        <v>0</v>
      </c>
      <c r="U212" s="10">
        <v>0</v>
      </c>
      <c r="V212" s="10">
        <v>0</v>
      </c>
      <c r="W212" s="10">
        <v>0</v>
      </c>
      <c r="X212" s="10">
        <v>1000</v>
      </c>
      <c r="Y212" s="10">
        <v>1000</v>
      </c>
    </row>
    <row r="213" spans="1:25" ht="14.25">
      <c r="A213" s="3"/>
      <c r="B213" s="3">
        <v>134</v>
      </c>
      <c r="C213" s="117" t="s">
        <v>289</v>
      </c>
      <c r="D213" s="113">
        <f t="shared" si="139"/>
        <v>0</v>
      </c>
      <c r="E213" s="113">
        <f t="shared" si="140"/>
        <v>0</v>
      </c>
      <c r="F213" s="112">
        <f t="shared" si="141"/>
        <v>0</v>
      </c>
      <c r="G213" s="112">
        <f t="shared" si="142"/>
        <v>0</v>
      </c>
      <c r="H213" s="112">
        <f t="shared" si="143"/>
        <v>0</v>
      </c>
      <c r="I213" s="112">
        <f t="shared" si="144"/>
        <v>0</v>
      </c>
      <c r="J213" s="112">
        <f t="shared" si="145"/>
        <v>0</v>
      </c>
      <c r="K213" s="112">
        <f t="shared" si="146"/>
        <v>131.6515720027501</v>
      </c>
      <c r="L213" s="112">
        <f t="shared" si="147"/>
        <v>201.06785542238194</v>
      </c>
      <c r="M213" s="119">
        <f t="shared" si="148"/>
        <v>296.81445324256384</v>
      </c>
      <c r="N213" s="119">
        <v>39.2375</v>
      </c>
      <c r="O213" s="131">
        <v>240</v>
      </c>
      <c r="P213" s="131">
        <v>495</v>
      </c>
      <c r="Q213" s="120">
        <f t="shared" si="149"/>
        <v>669.5089150614696</v>
      </c>
      <c r="R213" s="112">
        <f t="shared" si="150"/>
        <v>1403.771380667696</v>
      </c>
      <c r="T213" s="10">
        <v>0</v>
      </c>
      <c r="U213" s="10">
        <v>0</v>
      </c>
      <c r="V213" s="10">
        <v>0</v>
      </c>
      <c r="W213" s="10">
        <v>0</v>
      </c>
      <c r="X213" s="10">
        <v>1000</v>
      </c>
      <c r="Y213" s="10">
        <v>1000</v>
      </c>
    </row>
    <row r="214" spans="1:25" ht="14.25">
      <c r="A214" s="3"/>
      <c r="B214" s="3">
        <v>135</v>
      </c>
      <c r="C214" s="101" t="s">
        <v>334</v>
      </c>
      <c r="D214" s="113">
        <f t="shared" si="139"/>
        <v>0</v>
      </c>
      <c r="E214" s="113">
        <f t="shared" si="140"/>
        <v>178.02061388297204</v>
      </c>
      <c r="F214" s="112">
        <f t="shared" si="141"/>
        <v>178.02061388297204</v>
      </c>
      <c r="G214" s="112">
        <f t="shared" si="142"/>
        <v>21.548799274637258</v>
      </c>
      <c r="H214" s="112">
        <f t="shared" si="143"/>
        <v>20.183490701182368</v>
      </c>
      <c r="I214" s="112">
        <f t="shared" si="144"/>
        <v>219.75290385879168</v>
      </c>
      <c r="J214" s="112">
        <f t="shared" si="145"/>
        <v>0</v>
      </c>
      <c r="K214" s="112">
        <f t="shared" si="146"/>
        <v>131.6515720027501</v>
      </c>
      <c r="L214" s="112">
        <f t="shared" si="147"/>
        <v>201.06785542238194</v>
      </c>
      <c r="M214" s="119">
        <f t="shared" si="148"/>
        <v>296.81445324256384</v>
      </c>
      <c r="N214" s="119">
        <v>39.2375</v>
      </c>
      <c r="O214" s="131">
        <v>240</v>
      </c>
      <c r="P214" s="131">
        <v>495</v>
      </c>
      <c r="Q214" s="120">
        <f t="shared" si="149"/>
        <v>669.5089150614696</v>
      </c>
      <c r="R214" s="112">
        <f t="shared" si="150"/>
        <v>1623.5242845264875</v>
      </c>
      <c r="T214" s="10">
        <v>0</v>
      </c>
      <c r="U214" s="10">
        <v>200</v>
      </c>
      <c r="V214" s="10">
        <v>200</v>
      </c>
      <c r="W214" s="10">
        <v>0</v>
      </c>
      <c r="X214" s="10">
        <v>1000</v>
      </c>
      <c r="Y214" s="10">
        <v>1200</v>
      </c>
    </row>
    <row r="215" spans="1:25" ht="14.25">
      <c r="A215" s="3"/>
      <c r="B215" s="3">
        <v>136</v>
      </c>
      <c r="C215" s="101" t="s">
        <v>335</v>
      </c>
      <c r="D215" s="113">
        <f t="shared" si="139"/>
        <v>0</v>
      </c>
      <c r="E215" s="113">
        <f t="shared" si="140"/>
        <v>0</v>
      </c>
      <c r="F215" s="112">
        <f t="shared" si="141"/>
        <v>0</v>
      </c>
      <c r="G215" s="112">
        <f t="shared" si="142"/>
        <v>0</v>
      </c>
      <c r="H215" s="112">
        <f t="shared" si="143"/>
        <v>0</v>
      </c>
      <c r="I215" s="112">
        <f t="shared" si="144"/>
        <v>0</v>
      </c>
      <c r="J215" s="112">
        <f t="shared" si="145"/>
        <v>0</v>
      </c>
      <c r="K215" s="112">
        <f t="shared" si="146"/>
        <v>131.6515720027501</v>
      </c>
      <c r="L215" s="112">
        <f t="shared" si="147"/>
        <v>201.06785542238194</v>
      </c>
      <c r="M215" s="119">
        <f t="shared" si="148"/>
        <v>296.81445324256384</v>
      </c>
      <c r="N215" s="119">
        <v>39.2375</v>
      </c>
      <c r="O215" s="131">
        <v>240</v>
      </c>
      <c r="P215" s="131">
        <v>495</v>
      </c>
      <c r="Q215" s="120">
        <f t="shared" si="149"/>
        <v>669.5089150614696</v>
      </c>
      <c r="R215" s="112">
        <f t="shared" si="150"/>
        <v>1403.771380667696</v>
      </c>
      <c r="T215" s="10">
        <v>0</v>
      </c>
      <c r="U215" s="10">
        <v>0</v>
      </c>
      <c r="V215" s="10">
        <v>0</v>
      </c>
      <c r="W215" s="10">
        <v>0</v>
      </c>
      <c r="X215" s="10">
        <v>1000</v>
      </c>
      <c r="Y215" s="10">
        <v>1000</v>
      </c>
    </row>
    <row r="216" spans="1:25" ht="14.25">
      <c r="A216" s="3"/>
      <c r="B216" s="3">
        <v>137</v>
      </c>
      <c r="C216" s="101" t="s">
        <v>336</v>
      </c>
      <c r="D216" s="113">
        <f t="shared" si="139"/>
        <v>0</v>
      </c>
      <c r="E216" s="113">
        <f t="shared" si="140"/>
        <v>445.05153470743005</v>
      </c>
      <c r="F216" s="112">
        <f t="shared" si="141"/>
        <v>445.05153470743005</v>
      </c>
      <c r="G216" s="112">
        <f t="shared" si="142"/>
        <v>53.871998186593146</v>
      </c>
      <c r="H216" s="112">
        <f t="shared" si="143"/>
        <v>50.45872675295591</v>
      </c>
      <c r="I216" s="112">
        <f t="shared" si="144"/>
        <v>549.3822596469792</v>
      </c>
      <c r="J216" s="112">
        <f t="shared" si="145"/>
        <v>0</v>
      </c>
      <c r="K216" s="112">
        <f t="shared" si="146"/>
        <v>131.6515720027501</v>
      </c>
      <c r="L216" s="112">
        <f t="shared" si="147"/>
        <v>201.06785542238194</v>
      </c>
      <c r="M216" s="119">
        <f t="shared" si="148"/>
        <v>296.81445324256384</v>
      </c>
      <c r="N216" s="119">
        <v>39.2375</v>
      </c>
      <c r="O216" s="131">
        <v>240</v>
      </c>
      <c r="P216" s="131">
        <v>495</v>
      </c>
      <c r="Q216" s="120">
        <f t="shared" si="149"/>
        <v>669.5089150614696</v>
      </c>
      <c r="R216" s="112">
        <f t="shared" si="150"/>
        <v>1953.153640314675</v>
      </c>
      <c r="T216" s="10">
        <v>0</v>
      </c>
      <c r="U216" s="10">
        <v>500</v>
      </c>
      <c r="V216" s="10">
        <v>500</v>
      </c>
      <c r="W216" s="10">
        <v>0</v>
      </c>
      <c r="X216" s="10">
        <v>1000</v>
      </c>
      <c r="Y216" s="10">
        <v>1500</v>
      </c>
    </row>
    <row r="217" spans="1:25" ht="14.25">
      <c r="A217" s="3"/>
      <c r="B217" s="3">
        <v>138</v>
      </c>
      <c r="C217" s="101" t="s">
        <v>337</v>
      </c>
      <c r="D217" s="113">
        <f t="shared" si="139"/>
        <v>0</v>
      </c>
      <c r="E217" s="113">
        <f t="shared" si="140"/>
        <v>0</v>
      </c>
      <c r="F217" s="112">
        <f t="shared" si="141"/>
        <v>0</v>
      </c>
      <c r="G217" s="112">
        <f t="shared" si="142"/>
        <v>0</v>
      </c>
      <c r="H217" s="112">
        <f t="shared" si="143"/>
        <v>0</v>
      </c>
      <c r="I217" s="112">
        <f t="shared" si="144"/>
        <v>0</v>
      </c>
      <c r="J217" s="112">
        <f t="shared" si="145"/>
        <v>0</v>
      </c>
      <c r="K217" s="112">
        <f t="shared" si="146"/>
        <v>131.6515720027501</v>
      </c>
      <c r="L217" s="112">
        <f t="shared" si="147"/>
        <v>201.06785542238194</v>
      </c>
      <c r="M217" s="119">
        <f t="shared" si="148"/>
        <v>296.81445324256384</v>
      </c>
      <c r="N217" s="119">
        <v>39.2375</v>
      </c>
      <c r="O217" s="131">
        <v>240</v>
      </c>
      <c r="P217" s="131">
        <v>495</v>
      </c>
      <c r="Q217" s="120">
        <f t="shared" si="149"/>
        <v>669.5089150614696</v>
      </c>
      <c r="R217" s="112">
        <f t="shared" si="150"/>
        <v>1403.771380667696</v>
      </c>
      <c r="T217" s="10">
        <v>0</v>
      </c>
      <c r="U217" s="10">
        <v>0</v>
      </c>
      <c r="V217" s="10">
        <v>0</v>
      </c>
      <c r="W217" s="10">
        <v>0</v>
      </c>
      <c r="X217" s="10">
        <v>1000</v>
      </c>
      <c r="Y217" s="10">
        <v>1000</v>
      </c>
    </row>
    <row r="218" spans="1:25" ht="14.25">
      <c r="A218" s="3"/>
      <c r="B218" s="3">
        <v>139</v>
      </c>
      <c r="C218" s="101" t="s">
        <v>338</v>
      </c>
      <c r="D218" s="113">
        <f t="shared" si="139"/>
        <v>81.90512632895951</v>
      </c>
      <c r="E218" s="113">
        <f t="shared" si="140"/>
        <v>0</v>
      </c>
      <c r="F218" s="112">
        <f t="shared" si="141"/>
        <v>81.90512632895951</v>
      </c>
      <c r="G218" s="112">
        <f t="shared" si="142"/>
        <v>0</v>
      </c>
      <c r="H218" s="112">
        <f t="shared" si="143"/>
        <v>0</v>
      </c>
      <c r="I218" s="112">
        <f t="shared" si="144"/>
        <v>81.90512632895951</v>
      </c>
      <c r="J218" s="112">
        <f t="shared" si="145"/>
        <v>0</v>
      </c>
      <c r="K218" s="112">
        <f t="shared" si="146"/>
        <v>131.6515720027501</v>
      </c>
      <c r="L218" s="112">
        <f t="shared" si="147"/>
        <v>201.06785542238194</v>
      </c>
      <c r="M218" s="119">
        <f t="shared" si="148"/>
        <v>296.81445324256384</v>
      </c>
      <c r="N218" s="119">
        <v>39.2375</v>
      </c>
      <c r="O218" s="131">
        <v>240</v>
      </c>
      <c r="P218" s="131">
        <v>495</v>
      </c>
      <c r="Q218" s="120">
        <f t="shared" si="149"/>
        <v>669.5089150614696</v>
      </c>
      <c r="R218" s="112">
        <f t="shared" si="150"/>
        <v>1485.6765069966555</v>
      </c>
      <c r="T218" s="10">
        <v>91</v>
      </c>
      <c r="U218" s="10">
        <v>0</v>
      </c>
      <c r="V218" s="10">
        <v>91</v>
      </c>
      <c r="W218" s="10">
        <v>0</v>
      </c>
      <c r="X218" s="10">
        <v>1000</v>
      </c>
      <c r="Y218" s="10">
        <v>1091</v>
      </c>
    </row>
    <row r="219" spans="1:25" ht="14.25">
      <c r="A219" s="3"/>
      <c r="B219" s="3">
        <v>140</v>
      </c>
      <c r="C219" s="117" t="s">
        <v>339</v>
      </c>
      <c r="D219" s="113">
        <f t="shared" si="139"/>
        <v>0</v>
      </c>
      <c r="E219" s="113">
        <f t="shared" si="140"/>
        <v>0</v>
      </c>
      <c r="F219" s="112">
        <f t="shared" si="141"/>
        <v>0</v>
      </c>
      <c r="G219" s="112">
        <f t="shared" si="142"/>
        <v>0</v>
      </c>
      <c r="H219" s="112">
        <f t="shared" si="143"/>
        <v>0</v>
      </c>
      <c r="I219" s="112">
        <f t="shared" si="144"/>
        <v>0</v>
      </c>
      <c r="J219" s="112">
        <f t="shared" si="145"/>
        <v>1045.7665529212716</v>
      </c>
      <c r="K219" s="112">
        <f t="shared" si="146"/>
        <v>499.5371976489997</v>
      </c>
      <c r="L219" s="112">
        <f t="shared" si="147"/>
        <v>762.9295382275632</v>
      </c>
      <c r="M219" s="119">
        <f t="shared" si="148"/>
        <v>1126.2293183359266</v>
      </c>
      <c r="N219" s="119">
        <v>39.2375</v>
      </c>
      <c r="O219" s="131">
        <v>240</v>
      </c>
      <c r="P219" s="131">
        <v>495</v>
      </c>
      <c r="Q219" s="120">
        <f t="shared" si="149"/>
        <v>2540.3768610058255</v>
      </c>
      <c r="R219" s="112">
        <f t="shared" si="150"/>
        <v>4208.700107133762</v>
      </c>
      <c r="T219" s="10">
        <v>0</v>
      </c>
      <c r="U219" s="10">
        <v>0</v>
      </c>
      <c r="V219" s="10">
        <v>0</v>
      </c>
      <c r="W219" s="10">
        <v>242.548576</v>
      </c>
      <c r="X219" s="10">
        <v>3794.3884</v>
      </c>
      <c r="Y219" s="10">
        <v>4036.936976</v>
      </c>
    </row>
    <row r="220" spans="1:25" ht="14.25">
      <c r="A220" s="3">
        <v>17</v>
      </c>
      <c r="B220" s="3"/>
      <c r="C220" s="101" t="s">
        <v>78</v>
      </c>
      <c r="D220" s="112">
        <f aca="true" t="shared" si="151" ref="D220:R220">SUM(D203:D219)</f>
        <v>981.961459614229</v>
      </c>
      <c r="E220" s="112">
        <f t="shared" si="151"/>
        <v>2627.634205481435</v>
      </c>
      <c r="F220" s="112">
        <f t="shared" si="151"/>
        <v>3609.595665095664</v>
      </c>
      <c r="G220" s="112">
        <f t="shared" si="151"/>
        <v>318.0663229164744</v>
      </c>
      <c r="H220" s="112">
        <f t="shared" si="151"/>
        <v>297.91398532816834</v>
      </c>
      <c r="I220" s="112">
        <f t="shared" si="151"/>
        <v>4225.5759733403065</v>
      </c>
      <c r="J220" s="112">
        <f t="shared" si="151"/>
        <v>10659.62303769048</v>
      </c>
      <c r="K220" s="112">
        <f t="shared" si="151"/>
        <v>6645.292820309529</v>
      </c>
      <c r="L220" s="112">
        <f t="shared" si="151"/>
        <v>10149.174489200006</v>
      </c>
      <c r="M220" s="119">
        <f t="shared" si="151"/>
        <v>14982.11472215239</v>
      </c>
      <c r="N220" s="112">
        <f t="shared" si="151"/>
        <v>667.0374999999999</v>
      </c>
      <c r="O220" s="121">
        <f t="shared" si="151"/>
        <v>4080</v>
      </c>
      <c r="P220" s="121">
        <f t="shared" si="151"/>
        <v>8415</v>
      </c>
      <c r="Q220" s="120">
        <f t="shared" si="151"/>
        <v>33794.37646440156</v>
      </c>
      <c r="R220" s="112">
        <f t="shared" si="151"/>
        <v>59823.81854269274</v>
      </c>
      <c r="T220" s="10">
        <v>1091</v>
      </c>
      <c r="U220" s="10">
        <v>2952.05611099488</v>
      </c>
      <c r="V220" s="10">
        <v>4044.05611099488</v>
      </c>
      <c r="W220" s="10">
        <v>2475.326525711</v>
      </c>
      <c r="X220" s="10">
        <v>50475.3651448895</v>
      </c>
      <c r="Y220" s="10">
        <v>56993.7477815954</v>
      </c>
    </row>
    <row r="221" spans="1:25" ht="14.25">
      <c r="A221" s="3"/>
      <c r="B221" s="3"/>
      <c r="C221" s="101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21"/>
      <c r="O221" s="121"/>
      <c r="P221" s="121"/>
      <c r="Q221" s="112"/>
      <c r="R221" s="112"/>
      <c r="T221" s="10"/>
      <c r="U221" s="10"/>
      <c r="V221" s="10"/>
      <c r="W221" s="10"/>
      <c r="X221" s="10"/>
      <c r="Y221" s="10"/>
    </row>
    <row r="222" spans="1:25" ht="14.25">
      <c r="A222" s="3"/>
      <c r="B222" s="3"/>
      <c r="C222" s="101" t="s">
        <v>340</v>
      </c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T222" s="10"/>
      <c r="U222" s="10"/>
      <c r="V222" s="10"/>
      <c r="W222" s="10"/>
      <c r="X222" s="10"/>
      <c r="Y222" s="10"/>
    </row>
    <row r="223" spans="1:25" ht="14.25">
      <c r="A223" s="3">
        <v>1</v>
      </c>
      <c r="B223" s="3">
        <v>141</v>
      </c>
      <c r="C223" s="101" t="s">
        <v>341</v>
      </c>
      <c r="D223" s="113">
        <f>T223*$D$279/100</f>
        <v>0</v>
      </c>
      <c r="E223" s="113">
        <f>U223*$E$279/100</f>
        <v>0</v>
      </c>
      <c r="F223" s="112">
        <f>D223+E223</f>
        <v>0</v>
      </c>
      <c r="G223" s="112">
        <f>E223*$G$279/100</f>
        <v>0</v>
      </c>
      <c r="H223" s="112">
        <f>E223*$H$279/100</f>
        <v>0</v>
      </c>
      <c r="I223" s="112">
        <f>SUM(F223:H223)</f>
        <v>0</v>
      </c>
      <c r="J223" s="112">
        <f>W223*$J$279/100</f>
        <v>522.8832764606358</v>
      </c>
      <c r="K223" s="112">
        <f>Q223*$K$279/100</f>
        <v>399.62975811919983</v>
      </c>
      <c r="L223" s="112">
        <f>Q223*$L$279/100</f>
        <v>610.3436305820507</v>
      </c>
      <c r="M223" s="112">
        <f>Q223*$M$279/100</f>
        <v>900.9834546687415</v>
      </c>
      <c r="N223" s="122">
        <v>39.2375</v>
      </c>
      <c r="O223" s="122">
        <v>240</v>
      </c>
      <c r="P223" s="122">
        <v>495</v>
      </c>
      <c r="Q223" s="112">
        <f>X223*$Q$279/100</f>
        <v>2032.3014888046607</v>
      </c>
      <c r="R223" s="112">
        <f>I223+J223+K223+L223+M223+N223+O223+P223</f>
        <v>3208.077619830628</v>
      </c>
      <c r="T223" s="10">
        <v>0</v>
      </c>
      <c r="U223" s="10">
        <v>0</v>
      </c>
      <c r="V223" s="10">
        <v>0</v>
      </c>
      <c r="W223" s="10">
        <v>121.274288</v>
      </c>
      <c r="X223" s="10">
        <v>3035.51072</v>
      </c>
      <c r="Y223" s="10">
        <v>3156.785008</v>
      </c>
    </row>
    <row r="224" spans="1:25" ht="14.25">
      <c r="A224" s="3"/>
      <c r="B224" s="3"/>
      <c r="C224" s="101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T224" s="10"/>
      <c r="U224" s="10"/>
      <c r="V224" s="10"/>
      <c r="W224" s="10"/>
      <c r="X224" s="10"/>
      <c r="Y224" s="10"/>
    </row>
    <row r="225" spans="1:25" ht="14.25">
      <c r="A225" s="3"/>
      <c r="B225" s="3"/>
      <c r="C225" s="101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T225" s="10"/>
      <c r="U225" s="10"/>
      <c r="V225" s="10"/>
      <c r="W225" s="10"/>
      <c r="X225" s="10"/>
      <c r="Y225" s="10"/>
    </row>
    <row r="226" spans="1:25" ht="14.25">
      <c r="A226" s="3"/>
      <c r="B226" s="3"/>
      <c r="C226" s="117" t="s">
        <v>188</v>
      </c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T226" s="10"/>
      <c r="U226" s="10"/>
      <c r="V226" s="10"/>
      <c r="W226" s="10"/>
      <c r="X226" s="10"/>
      <c r="Y226" s="10"/>
    </row>
    <row r="227" spans="1:25" ht="14.25">
      <c r="A227" s="3"/>
      <c r="B227" s="3">
        <v>142</v>
      </c>
      <c r="C227" s="117" t="s">
        <v>342</v>
      </c>
      <c r="D227" s="113">
        <f>T227*$D$279/100</f>
        <v>0</v>
      </c>
      <c r="E227" s="113">
        <f>U227*$E$279/100</f>
        <v>0</v>
      </c>
      <c r="F227" s="112">
        <f>D227+E227</f>
        <v>0</v>
      </c>
      <c r="G227" s="112">
        <f>E227*$G$279/100</f>
        <v>0</v>
      </c>
      <c r="H227" s="112">
        <f>E227*$H$279/100</f>
        <v>0</v>
      </c>
      <c r="I227" s="112">
        <f>SUM(F227:H227)</f>
        <v>0</v>
      </c>
      <c r="J227" s="112">
        <f>W227*$J$279/100</f>
        <v>522.8832764606358</v>
      </c>
      <c r="K227" s="112">
        <f>Q227*$K$279/100</f>
        <v>399.62975811919983</v>
      </c>
      <c r="L227" s="112">
        <f>Q227*$L$279/100</f>
        <v>610.3436305820507</v>
      </c>
      <c r="M227" s="112">
        <f>Q227*$M$279/100</f>
        <v>900.9834546687415</v>
      </c>
      <c r="N227" s="122">
        <v>39.2375</v>
      </c>
      <c r="O227" s="122">
        <v>240</v>
      </c>
      <c r="P227" s="122">
        <v>495</v>
      </c>
      <c r="Q227" s="112">
        <f>X227*$Q$279/100</f>
        <v>2032.3014888046607</v>
      </c>
      <c r="R227" s="112">
        <f>I227+J227+K227+L227+M227+N227+O227+P227</f>
        <v>3208.077619830628</v>
      </c>
      <c r="T227" s="10">
        <v>0</v>
      </c>
      <c r="U227" s="10">
        <v>0</v>
      </c>
      <c r="V227" s="10">
        <v>0</v>
      </c>
      <c r="W227" s="10">
        <v>121.274288</v>
      </c>
      <c r="X227" s="10">
        <v>3035.51072</v>
      </c>
      <c r="Y227" s="10">
        <v>3156.785008</v>
      </c>
    </row>
    <row r="228" spans="1:25" ht="14.25">
      <c r="A228" s="3">
        <v>2</v>
      </c>
      <c r="B228" s="3">
        <v>143</v>
      </c>
      <c r="C228" s="117" t="s">
        <v>273</v>
      </c>
      <c r="D228" s="113">
        <f>T228*$D$279/100</f>
        <v>0</v>
      </c>
      <c r="E228" s="113">
        <f>U228*$E$279/100</f>
        <v>0</v>
      </c>
      <c r="F228" s="112">
        <f>D228+E228</f>
        <v>0</v>
      </c>
      <c r="G228" s="112">
        <f>E228*$G$279/100</f>
        <v>0</v>
      </c>
      <c r="H228" s="112">
        <f>E228*$H$279/100</f>
        <v>0</v>
      </c>
      <c r="I228" s="112">
        <f>SUM(F228:H228)</f>
        <v>0</v>
      </c>
      <c r="J228" s="112">
        <f>W228*$J$279/100</f>
        <v>522.8832764606358</v>
      </c>
      <c r="K228" s="112">
        <f>Q228*$K$279/100</f>
        <v>399.62975811919983</v>
      </c>
      <c r="L228" s="112">
        <f>Q228*$L$279/100</f>
        <v>610.3436305820507</v>
      </c>
      <c r="M228" s="112">
        <f>Q228*$M$279/100</f>
        <v>900.9834546687415</v>
      </c>
      <c r="N228" s="122">
        <v>39.2375</v>
      </c>
      <c r="O228" s="122">
        <v>240</v>
      </c>
      <c r="P228" s="122">
        <v>495</v>
      </c>
      <c r="Q228" s="112">
        <f>X228*$Q$279/100</f>
        <v>2032.3014888046607</v>
      </c>
      <c r="R228" s="112">
        <f>I228+J228+K228+L228+M228+N228+O228+P228</f>
        <v>3208.077619830628</v>
      </c>
      <c r="T228" s="10">
        <v>0</v>
      </c>
      <c r="U228" s="10">
        <v>0</v>
      </c>
      <c r="V228" s="10">
        <v>0</v>
      </c>
      <c r="W228" s="10">
        <v>121.274288</v>
      </c>
      <c r="X228" s="10">
        <v>3035.51072</v>
      </c>
      <c r="Y228" s="10">
        <v>3156.785008</v>
      </c>
    </row>
    <row r="229" spans="1:25" ht="14.25">
      <c r="A229" s="3"/>
      <c r="B229" s="3"/>
      <c r="C229" s="101" t="s">
        <v>78</v>
      </c>
      <c r="D229" s="112">
        <f aca="true" t="shared" si="152" ref="D229:R229">SUM(D227:D228)</f>
        <v>0</v>
      </c>
      <c r="E229" s="112">
        <f t="shared" si="152"/>
        <v>0</v>
      </c>
      <c r="F229" s="112">
        <f t="shared" si="152"/>
        <v>0</v>
      </c>
      <c r="G229" s="112">
        <f t="shared" si="152"/>
        <v>0</v>
      </c>
      <c r="H229" s="112">
        <f t="shared" si="152"/>
        <v>0</v>
      </c>
      <c r="I229" s="112">
        <f t="shared" si="152"/>
        <v>0</v>
      </c>
      <c r="J229" s="112">
        <f t="shared" si="152"/>
        <v>1045.7665529212716</v>
      </c>
      <c r="K229" s="112">
        <f t="shared" si="152"/>
        <v>799.2595162383997</v>
      </c>
      <c r="L229" s="112">
        <f t="shared" si="152"/>
        <v>1220.6872611641013</v>
      </c>
      <c r="M229" s="112">
        <f t="shared" si="152"/>
        <v>1801.966909337483</v>
      </c>
      <c r="N229" s="112">
        <f t="shared" si="152"/>
        <v>78.475</v>
      </c>
      <c r="O229" s="112">
        <f t="shared" si="152"/>
        <v>480</v>
      </c>
      <c r="P229" s="112">
        <f t="shared" si="152"/>
        <v>990</v>
      </c>
      <c r="Q229" s="112">
        <f t="shared" si="152"/>
        <v>4064.6029776093214</v>
      </c>
      <c r="R229" s="112">
        <f t="shared" si="152"/>
        <v>6416.155239661256</v>
      </c>
      <c r="T229" s="10">
        <v>0</v>
      </c>
      <c r="U229" s="10">
        <v>0</v>
      </c>
      <c r="V229" s="10">
        <v>0</v>
      </c>
      <c r="W229" s="10">
        <v>241.548576</v>
      </c>
      <c r="X229" s="10">
        <v>6072.02144</v>
      </c>
      <c r="Y229" s="10">
        <v>6313.570016</v>
      </c>
    </row>
    <row r="230" spans="1:25" ht="14.25">
      <c r="A230" s="3"/>
      <c r="B230" s="3"/>
      <c r="C230" s="101" t="s">
        <v>343</v>
      </c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T230" s="10"/>
      <c r="U230" s="10"/>
      <c r="V230" s="10"/>
      <c r="W230" s="10"/>
      <c r="X230" s="10"/>
      <c r="Y230" s="10"/>
    </row>
    <row r="231" spans="1:25" ht="14.25">
      <c r="A231" s="3">
        <v>1</v>
      </c>
      <c r="B231" s="3">
        <v>144</v>
      </c>
      <c r="C231" s="117" t="s">
        <v>323</v>
      </c>
      <c r="D231" s="113">
        <f>T231*$D$279/100</f>
        <v>0</v>
      </c>
      <c r="E231" s="113">
        <f>U231*$E$279/100</f>
        <v>0</v>
      </c>
      <c r="F231" s="112">
        <f>D231+E231</f>
        <v>0</v>
      </c>
      <c r="G231" s="112">
        <f>E231*$G$279/100</f>
        <v>0</v>
      </c>
      <c r="H231" s="112">
        <f>E231*$H$279/100</f>
        <v>0</v>
      </c>
      <c r="I231" s="112">
        <f>SUM(F231:H231)</f>
        <v>0</v>
      </c>
      <c r="J231" s="112">
        <f>W231*$J$279/100</f>
        <v>0</v>
      </c>
      <c r="K231" s="112">
        <f>Q231*$K$279/100</f>
        <v>399.62975811919983</v>
      </c>
      <c r="L231" s="112">
        <f>Q231*$L$279/100</f>
        <v>610.3436305820507</v>
      </c>
      <c r="M231" s="112">
        <f>Q231*$M$279/100</f>
        <v>900.9834546687415</v>
      </c>
      <c r="N231" s="122">
        <v>0</v>
      </c>
      <c r="O231" s="122">
        <v>240</v>
      </c>
      <c r="P231" s="122">
        <v>495</v>
      </c>
      <c r="Q231" s="112">
        <f>X231*$Q$279/100</f>
        <v>2032.3014888046607</v>
      </c>
      <c r="R231" s="112">
        <f>I231+J231+K231+L231+M231+N231+O231+P231</f>
        <v>2645.956843369992</v>
      </c>
      <c r="T231" s="10">
        <v>0</v>
      </c>
      <c r="U231" s="10">
        <v>0</v>
      </c>
      <c r="V231" s="10">
        <v>0</v>
      </c>
      <c r="W231" s="10">
        <v>0</v>
      </c>
      <c r="X231" s="10">
        <v>3035.51072</v>
      </c>
      <c r="Y231" s="10">
        <v>3035.51072</v>
      </c>
    </row>
    <row r="232" spans="1:25" ht="14.25">
      <c r="A232" s="3"/>
      <c r="B232" s="3"/>
      <c r="C232" s="101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T232" s="10"/>
      <c r="U232" s="10"/>
      <c r="V232" s="10"/>
      <c r="W232" s="10"/>
      <c r="X232" s="10"/>
      <c r="Y232" s="10"/>
    </row>
    <row r="233" spans="1:25" ht="14.25">
      <c r="A233" s="3"/>
      <c r="B233" s="3"/>
      <c r="C233" s="101" t="s">
        <v>144</v>
      </c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T233" s="10"/>
      <c r="U233" s="10"/>
      <c r="V233" s="10"/>
      <c r="W233" s="10"/>
      <c r="X233" s="10"/>
      <c r="Y233" s="10"/>
    </row>
    <row r="234" spans="1:25" ht="14.25">
      <c r="A234" s="3">
        <v>1</v>
      </c>
      <c r="B234" s="3">
        <v>145</v>
      </c>
      <c r="C234" s="117" t="s">
        <v>282</v>
      </c>
      <c r="D234" s="113">
        <f>T234*$D$279/100</f>
        <v>0</v>
      </c>
      <c r="E234" s="113">
        <f>U234*$E$279/100</f>
        <v>0</v>
      </c>
      <c r="F234" s="112">
        <f>D234+E234</f>
        <v>0</v>
      </c>
      <c r="G234" s="112">
        <f>E234*$G$279/100</f>
        <v>0</v>
      </c>
      <c r="H234" s="112">
        <f>E234*$H$279/100</f>
        <v>0</v>
      </c>
      <c r="I234" s="112">
        <f>SUM(F234:H234)</f>
        <v>0</v>
      </c>
      <c r="J234" s="112">
        <f>W234*$J$279/100</f>
        <v>522.8832764606358</v>
      </c>
      <c r="K234" s="112">
        <f>Q234*$K$279/100</f>
        <v>399.62975811919983</v>
      </c>
      <c r="L234" s="112">
        <f>Q234*$L$279/100</f>
        <v>610.3436305820507</v>
      </c>
      <c r="M234" s="112">
        <f>Q234*$M$279/100</f>
        <v>900.9834546687415</v>
      </c>
      <c r="N234" s="122">
        <v>39.2375</v>
      </c>
      <c r="O234" s="122">
        <v>240</v>
      </c>
      <c r="P234" s="122">
        <v>495</v>
      </c>
      <c r="Q234" s="112">
        <f>X234*$Q$279/100</f>
        <v>2032.3014888046607</v>
      </c>
      <c r="R234" s="112">
        <f>I234+J234+K234+L234+M234+N234+O234+P234</f>
        <v>3208.077619830628</v>
      </c>
      <c r="T234" s="10">
        <v>0</v>
      </c>
      <c r="U234" s="10">
        <v>0</v>
      </c>
      <c r="V234" s="10">
        <v>0</v>
      </c>
      <c r="W234" s="10">
        <v>121.274288</v>
      </c>
      <c r="X234" s="10">
        <v>3035.51072</v>
      </c>
      <c r="Y234" s="10">
        <v>3156.785008</v>
      </c>
    </row>
    <row r="235" spans="1:25" ht="14.25">
      <c r="A235" s="3"/>
      <c r="B235" s="3"/>
      <c r="C235" s="101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T235" s="10"/>
      <c r="U235" s="10"/>
      <c r="V235" s="10"/>
      <c r="W235" s="10"/>
      <c r="X235" s="10"/>
      <c r="Y235" s="10"/>
    </row>
    <row r="236" spans="1:25" ht="14.25">
      <c r="A236" s="3">
        <v>1</v>
      </c>
      <c r="B236" s="3">
        <v>146</v>
      </c>
      <c r="C236" s="117" t="s">
        <v>344</v>
      </c>
      <c r="D236" s="113">
        <f>T236*$D$279/100</f>
        <v>0</v>
      </c>
      <c r="E236" s="113">
        <f>U236*$E$279/100</f>
        <v>0</v>
      </c>
      <c r="F236" s="112">
        <f>D236+E236</f>
        <v>0</v>
      </c>
      <c r="G236" s="112">
        <f>E236*$G$279/100</f>
        <v>0</v>
      </c>
      <c r="H236" s="112">
        <f>E236*$H$279/100</f>
        <v>0</v>
      </c>
      <c r="I236" s="112">
        <f>SUM(F236:H236)</f>
        <v>0</v>
      </c>
      <c r="J236" s="112">
        <f>W236*$J$279/100</f>
        <v>522.8832764606358</v>
      </c>
      <c r="K236" s="112">
        <f>Q236*$K$279/100</f>
        <v>499.5371976489997</v>
      </c>
      <c r="L236" s="112">
        <f>Q236*$L$279/100</f>
        <v>762.9295382275632</v>
      </c>
      <c r="M236" s="112">
        <f>Q236*$M$279/100</f>
        <v>1126.2293183359266</v>
      </c>
      <c r="N236" s="122">
        <v>39.2375</v>
      </c>
      <c r="O236" s="122">
        <v>240</v>
      </c>
      <c r="P236" s="122">
        <v>495</v>
      </c>
      <c r="Q236" s="112">
        <f>X236*$Q$279/100</f>
        <v>2540.3768610058255</v>
      </c>
      <c r="R236" s="112">
        <f>I236+J236+K236+L236+M236+N236+O236+P236</f>
        <v>3685.8168306731254</v>
      </c>
      <c r="T236" s="10">
        <v>0</v>
      </c>
      <c r="U236" s="10">
        <v>0</v>
      </c>
      <c r="V236" s="10">
        <v>0</v>
      </c>
      <c r="W236" s="10">
        <v>121.274288</v>
      </c>
      <c r="X236" s="10">
        <v>3794.3884</v>
      </c>
      <c r="Y236" s="10">
        <v>3914.662688</v>
      </c>
    </row>
    <row r="237" spans="1:25" ht="14.25">
      <c r="A237" s="3"/>
      <c r="B237" s="3"/>
      <c r="C237" s="101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T237" s="10"/>
      <c r="U237" s="10"/>
      <c r="V237" s="10"/>
      <c r="W237" s="10"/>
      <c r="X237" s="10"/>
      <c r="Y237" s="10"/>
    </row>
    <row r="238" spans="1:25" ht="14.25">
      <c r="A238" s="3"/>
      <c r="B238" s="3"/>
      <c r="C238" s="101" t="s">
        <v>119</v>
      </c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T238" s="10"/>
      <c r="U238" s="10"/>
      <c r="V238" s="10"/>
      <c r="W238" s="10"/>
      <c r="X238" s="10"/>
      <c r="Y238" s="10"/>
    </row>
    <row r="239" spans="1:25" ht="14.25">
      <c r="A239" s="3"/>
      <c r="B239" s="3">
        <v>147</v>
      </c>
      <c r="C239" s="117" t="s">
        <v>282</v>
      </c>
      <c r="D239" s="113">
        <f>T239*$D$279/100</f>
        <v>0</v>
      </c>
      <c r="E239" s="113">
        <f>U239*$E$279/100</f>
        <v>0</v>
      </c>
      <c r="F239" s="112">
        <f>D239+E239</f>
        <v>0</v>
      </c>
      <c r="G239" s="112">
        <f>E239*$G$279/100</f>
        <v>0</v>
      </c>
      <c r="H239" s="112">
        <f>E239*$H$279/100</f>
        <v>0</v>
      </c>
      <c r="I239" s="112">
        <f>SUM(F239:H239)</f>
        <v>0</v>
      </c>
      <c r="J239" s="112">
        <f>W239*$J$279/100</f>
        <v>522.8832764606358</v>
      </c>
      <c r="K239" s="112">
        <f>Q239*$K$279/100</f>
        <v>399.62975811919983</v>
      </c>
      <c r="L239" s="112">
        <f>Q239*$L$279/100</f>
        <v>610.3436305820507</v>
      </c>
      <c r="M239" s="112">
        <f>Q239*$M$279/100</f>
        <v>900.9834546687415</v>
      </c>
      <c r="N239" s="122">
        <v>39.2375</v>
      </c>
      <c r="O239" s="122">
        <v>240</v>
      </c>
      <c r="P239" s="122">
        <v>495</v>
      </c>
      <c r="Q239" s="112">
        <f>X239*$Q$279/100</f>
        <v>2032.3014888046607</v>
      </c>
      <c r="R239" s="112">
        <f>I239+J239+K239+L239+M239+N239+O239+P239</f>
        <v>3208.077619830628</v>
      </c>
      <c r="T239" s="10">
        <v>0</v>
      </c>
      <c r="U239" s="10">
        <v>0</v>
      </c>
      <c r="V239" s="10">
        <v>0</v>
      </c>
      <c r="W239" s="10">
        <v>121.274288</v>
      </c>
      <c r="X239" s="10">
        <v>3035.51072</v>
      </c>
      <c r="Y239" s="10">
        <v>3156.785008</v>
      </c>
    </row>
    <row r="240" spans="1:25" ht="14.25">
      <c r="A240" s="3"/>
      <c r="B240" s="3">
        <v>148</v>
      </c>
      <c r="C240" s="117" t="s">
        <v>273</v>
      </c>
      <c r="D240" s="113">
        <f>T240*$D$279/100</f>
        <v>0</v>
      </c>
      <c r="E240" s="113">
        <f>U240*$E$279/100</f>
        <v>0</v>
      </c>
      <c r="F240" s="112">
        <f>D240+E240</f>
        <v>0</v>
      </c>
      <c r="G240" s="112">
        <f>E240*$G$279/100</f>
        <v>0</v>
      </c>
      <c r="H240" s="112">
        <f>E240*$H$279/100</f>
        <v>0</v>
      </c>
      <c r="I240" s="112">
        <f>SUM(F240:H240)</f>
        <v>0</v>
      </c>
      <c r="J240" s="112">
        <f>W240*$J$279/100</f>
        <v>522.8832764606358</v>
      </c>
      <c r="K240" s="112">
        <f>Q240*$K$279/100</f>
        <v>399.62975811919983</v>
      </c>
      <c r="L240" s="112">
        <f>Q240*$L$279/100</f>
        <v>610.3436305820507</v>
      </c>
      <c r="M240" s="112">
        <f>Q240*$M$279/100</f>
        <v>900.9834546687415</v>
      </c>
      <c r="N240" s="122">
        <v>39.2375</v>
      </c>
      <c r="O240" s="122">
        <v>240</v>
      </c>
      <c r="P240" s="122">
        <v>495</v>
      </c>
      <c r="Q240" s="112">
        <f>X240*$Q$279/100</f>
        <v>2032.3014888046607</v>
      </c>
      <c r="R240" s="112">
        <f>I240+J240+K240+L240+M240+N240+O240+P240</f>
        <v>3208.077619830628</v>
      </c>
      <c r="T240" s="10">
        <v>0</v>
      </c>
      <c r="U240" s="10">
        <v>0</v>
      </c>
      <c r="V240" s="10">
        <v>0</v>
      </c>
      <c r="W240" s="10">
        <v>121.274288</v>
      </c>
      <c r="X240" s="10">
        <v>3035.51072</v>
      </c>
      <c r="Y240" s="10">
        <v>3156.785008</v>
      </c>
    </row>
    <row r="241" spans="1:25" ht="14.25">
      <c r="A241" s="3">
        <v>2</v>
      </c>
      <c r="B241" s="3"/>
      <c r="C241" s="101" t="s">
        <v>345</v>
      </c>
      <c r="D241" s="112">
        <f aca="true" t="shared" si="153" ref="D241:R241">SUM(D239:D240)</f>
        <v>0</v>
      </c>
      <c r="E241" s="112">
        <f t="shared" si="153"/>
        <v>0</v>
      </c>
      <c r="F241" s="112">
        <f t="shared" si="153"/>
        <v>0</v>
      </c>
      <c r="G241" s="112">
        <f t="shared" si="153"/>
        <v>0</v>
      </c>
      <c r="H241" s="112">
        <f t="shared" si="153"/>
        <v>0</v>
      </c>
      <c r="I241" s="112">
        <f t="shared" si="153"/>
        <v>0</v>
      </c>
      <c r="J241" s="112">
        <f t="shared" si="153"/>
        <v>1045.7665529212716</v>
      </c>
      <c r="K241" s="112">
        <f t="shared" si="153"/>
        <v>799.2595162383997</v>
      </c>
      <c r="L241" s="112">
        <f t="shared" si="153"/>
        <v>1220.6872611641013</v>
      </c>
      <c r="M241" s="112">
        <f t="shared" si="153"/>
        <v>1801.966909337483</v>
      </c>
      <c r="N241" s="112">
        <f t="shared" si="153"/>
        <v>78.475</v>
      </c>
      <c r="O241" s="112">
        <f t="shared" si="153"/>
        <v>480</v>
      </c>
      <c r="P241" s="112">
        <f t="shared" si="153"/>
        <v>990</v>
      </c>
      <c r="Q241" s="112">
        <f t="shared" si="153"/>
        <v>4064.6029776093214</v>
      </c>
      <c r="R241" s="112">
        <f t="shared" si="153"/>
        <v>6416.155239661256</v>
      </c>
      <c r="T241" s="10">
        <v>0</v>
      </c>
      <c r="U241" s="10">
        <v>0</v>
      </c>
      <c r="V241" s="10">
        <v>0</v>
      </c>
      <c r="W241" s="10">
        <v>241.548576</v>
      </c>
      <c r="X241" s="10">
        <v>6072.02144</v>
      </c>
      <c r="Y241" s="10">
        <v>6313.570016</v>
      </c>
    </row>
    <row r="242" spans="1:25" ht="14.25">
      <c r="A242" s="3"/>
      <c r="B242" s="3"/>
      <c r="C242" s="101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T242" s="10"/>
      <c r="U242" s="10"/>
      <c r="V242" s="10"/>
      <c r="W242" s="10"/>
      <c r="X242" s="10"/>
      <c r="Y242" s="10"/>
    </row>
    <row r="243" spans="1:25" ht="14.25">
      <c r="A243" s="3"/>
      <c r="B243" s="3">
        <v>149</v>
      </c>
      <c r="C243" s="117" t="s">
        <v>346</v>
      </c>
      <c r="D243" s="113">
        <f>T243*$D$279/100</f>
        <v>0</v>
      </c>
      <c r="E243" s="113">
        <f>U243*$E$279/100</f>
        <v>0</v>
      </c>
      <c r="F243" s="112">
        <f>D243+E243</f>
        <v>0</v>
      </c>
      <c r="G243" s="112">
        <f>E243*$G$279/100</f>
        <v>0</v>
      </c>
      <c r="H243" s="112">
        <f>E243*$H$279/100</f>
        <v>0</v>
      </c>
      <c r="I243" s="112">
        <f>SUM(F243:H243)</f>
        <v>0</v>
      </c>
      <c r="J243" s="112">
        <f>W243*$J$279/100</f>
        <v>522.8832764606358</v>
      </c>
      <c r="K243" s="112">
        <f>Q243*$K$279/100</f>
        <v>799.2595162383997</v>
      </c>
      <c r="L243" s="112">
        <f>Q243*$L$279/100</f>
        <v>1220.6872611641013</v>
      </c>
      <c r="M243" s="112">
        <f>Q243*$M$279/100</f>
        <v>1801.966909337483</v>
      </c>
      <c r="N243" s="122">
        <v>39.2375</v>
      </c>
      <c r="O243" s="122">
        <v>240</v>
      </c>
      <c r="P243" s="122">
        <v>495</v>
      </c>
      <c r="Q243" s="112">
        <f>X243*$Q$279/100</f>
        <v>4064.6029776093214</v>
      </c>
      <c r="R243" s="112">
        <f>I243+J243+K243+L243+M243+N243+O243+P243</f>
        <v>5119.03446320062</v>
      </c>
      <c r="T243" s="10">
        <v>0</v>
      </c>
      <c r="U243" s="10">
        <v>0</v>
      </c>
      <c r="V243" s="10">
        <v>0</v>
      </c>
      <c r="W243" s="10">
        <v>121.274288</v>
      </c>
      <c r="X243" s="10">
        <v>6071.02144</v>
      </c>
      <c r="Y243" s="10">
        <v>6192.295728</v>
      </c>
    </row>
    <row r="244" spans="1:25" ht="14.25">
      <c r="A244" s="3"/>
      <c r="B244" s="3">
        <v>150</v>
      </c>
      <c r="C244" s="117" t="s">
        <v>347</v>
      </c>
      <c r="D244" s="113">
        <f>T244*$D$279/100</f>
        <v>0</v>
      </c>
      <c r="E244" s="113">
        <f>U244*$E$279/100</f>
        <v>0</v>
      </c>
      <c r="F244" s="112">
        <f>D244+E244</f>
        <v>0</v>
      </c>
      <c r="G244" s="112">
        <f>E244*$G$279/100</f>
        <v>0</v>
      </c>
      <c r="H244" s="112">
        <f>E244*$H$279/100</f>
        <v>0</v>
      </c>
      <c r="I244" s="112">
        <f>SUM(F244:H244)</f>
        <v>0</v>
      </c>
      <c r="J244" s="112">
        <f>W244*$J$279/100</f>
        <v>522.8832764606358</v>
      </c>
      <c r="K244" s="112">
        <f>Q244*$K$279/100</f>
        <v>499.5371976489997</v>
      </c>
      <c r="L244" s="112">
        <f>Q244*$L$279/100</f>
        <v>762.9295382275632</v>
      </c>
      <c r="M244" s="112">
        <f>Q244*$M$279/100</f>
        <v>1126.2293183359266</v>
      </c>
      <c r="N244" s="122">
        <v>39.2375</v>
      </c>
      <c r="O244" s="122">
        <v>240</v>
      </c>
      <c r="P244" s="122">
        <v>495</v>
      </c>
      <c r="Q244" s="112">
        <f>X244*$Q$279/100</f>
        <v>2540.3768610058255</v>
      </c>
      <c r="R244" s="112">
        <f>I244+J244+K244+L244+M244+N244+O244+P244</f>
        <v>3685.8168306731254</v>
      </c>
      <c r="T244" s="10">
        <v>0</v>
      </c>
      <c r="U244" s="10">
        <v>0</v>
      </c>
      <c r="V244" s="10">
        <v>0</v>
      </c>
      <c r="W244" s="10">
        <v>121.274288</v>
      </c>
      <c r="X244" s="10">
        <v>3794.3884</v>
      </c>
      <c r="Y244" s="10">
        <v>3914.662688</v>
      </c>
    </row>
    <row r="245" spans="1:25" ht="14.25">
      <c r="A245" s="3">
        <v>2</v>
      </c>
      <c r="B245" s="3"/>
      <c r="C245" s="101" t="s">
        <v>78</v>
      </c>
      <c r="D245" s="112">
        <f aca="true" t="shared" si="154" ref="D245:R245">SUM(D243:D244)</f>
        <v>0</v>
      </c>
      <c r="E245" s="112">
        <f t="shared" si="154"/>
        <v>0</v>
      </c>
      <c r="F245" s="112">
        <f t="shared" si="154"/>
        <v>0</v>
      </c>
      <c r="G245" s="112">
        <f t="shared" si="154"/>
        <v>0</v>
      </c>
      <c r="H245" s="112">
        <f t="shared" si="154"/>
        <v>0</v>
      </c>
      <c r="I245" s="112">
        <f t="shared" si="154"/>
        <v>0</v>
      </c>
      <c r="J245" s="112">
        <f t="shared" si="154"/>
        <v>1045.7665529212716</v>
      </c>
      <c r="K245" s="112">
        <f t="shared" si="154"/>
        <v>1298.7967138873994</v>
      </c>
      <c r="L245" s="112">
        <f t="shared" si="154"/>
        <v>1983.6167993916645</v>
      </c>
      <c r="M245" s="112">
        <f t="shared" si="154"/>
        <v>2928.1962276734093</v>
      </c>
      <c r="N245" s="112">
        <f t="shared" si="154"/>
        <v>78.475</v>
      </c>
      <c r="O245" s="112">
        <f t="shared" si="154"/>
        <v>480</v>
      </c>
      <c r="P245" s="112">
        <f t="shared" si="154"/>
        <v>990</v>
      </c>
      <c r="Q245" s="112">
        <f t="shared" si="154"/>
        <v>6604.979838615147</v>
      </c>
      <c r="R245" s="112">
        <f t="shared" si="154"/>
        <v>8804.851293873746</v>
      </c>
      <c r="T245" s="10">
        <v>0</v>
      </c>
      <c r="U245" s="10">
        <v>0</v>
      </c>
      <c r="V245" s="10">
        <v>0</v>
      </c>
      <c r="W245" s="10">
        <v>241.548576</v>
      </c>
      <c r="X245" s="10">
        <v>9865.40984</v>
      </c>
      <c r="Y245" s="10">
        <v>10106.958416</v>
      </c>
    </row>
    <row r="246" spans="1:25" ht="14.25">
      <c r="A246" s="3"/>
      <c r="B246" s="3"/>
      <c r="C246" s="101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T246" s="10"/>
      <c r="U246" s="10"/>
      <c r="V246" s="10"/>
      <c r="W246" s="10"/>
      <c r="X246" s="10"/>
      <c r="Y246" s="10"/>
    </row>
    <row r="247" spans="1:25" ht="14.25">
      <c r="A247" s="3">
        <v>1</v>
      </c>
      <c r="B247" s="3">
        <v>151</v>
      </c>
      <c r="C247" s="117" t="s">
        <v>348</v>
      </c>
      <c r="D247" s="113">
        <f>T247*$D$279/100</f>
        <v>0</v>
      </c>
      <c r="E247" s="113">
        <f>U247*$E$279/100</f>
        <v>0</v>
      </c>
      <c r="F247" s="112">
        <f>D247+E247</f>
        <v>0</v>
      </c>
      <c r="G247" s="112">
        <f>E247*$G$279/100</f>
        <v>0</v>
      </c>
      <c r="H247" s="112">
        <f>E247*$H$279/100</f>
        <v>0</v>
      </c>
      <c r="I247" s="112">
        <f>SUM(F247:H247)</f>
        <v>0</v>
      </c>
      <c r="J247" s="112">
        <f>W247*$J$279/100</f>
        <v>0</v>
      </c>
      <c r="K247" s="112">
        <f>Q247*$K$279/100</f>
        <v>499.5371976489997</v>
      </c>
      <c r="L247" s="112">
        <f>Q247*$L$279/100</f>
        <v>762.9295382275632</v>
      </c>
      <c r="M247" s="112">
        <f>Q247*$M$279/100</f>
        <v>1126.2293183359266</v>
      </c>
      <c r="N247" s="122">
        <v>39.2375</v>
      </c>
      <c r="O247" s="122">
        <v>240</v>
      </c>
      <c r="P247" s="122">
        <v>495</v>
      </c>
      <c r="Q247" s="112">
        <f>X247*$Q$279/100</f>
        <v>2540.3768610058255</v>
      </c>
      <c r="R247" s="112">
        <f>I247+J247+K247+L247+M247+N247+O247+P247</f>
        <v>3162.9335542124895</v>
      </c>
      <c r="T247" s="10">
        <v>0</v>
      </c>
      <c r="U247" s="10">
        <v>0</v>
      </c>
      <c r="V247" s="10">
        <v>0</v>
      </c>
      <c r="W247" s="10">
        <v>0</v>
      </c>
      <c r="X247" s="10">
        <v>3794.3884</v>
      </c>
      <c r="Y247" s="10">
        <v>3794.3884</v>
      </c>
    </row>
    <row r="248" spans="1:25" ht="14.25">
      <c r="A248" s="3"/>
      <c r="B248" s="3"/>
      <c r="C248" s="101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T248" s="10"/>
      <c r="U248" s="10"/>
      <c r="V248" s="10"/>
      <c r="W248" s="10"/>
      <c r="X248" s="10"/>
      <c r="Y248" s="10"/>
    </row>
    <row r="249" spans="1:25" ht="14.25">
      <c r="A249" s="3">
        <v>1</v>
      </c>
      <c r="B249" s="3">
        <v>152</v>
      </c>
      <c r="C249" s="117" t="s">
        <v>349</v>
      </c>
      <c r="D249" s="113">
        <f>T249*$D$279/100</f>
        <v>0</v>
      </c>
      <c r="E249" s="113">
        <f>U249*$E$279/100</f>
        <v>0</v>
      </c>
      <c r="F249" s="112">
        <f>D249+E249</f>
        <v>0</v>
      </c>
      <c r="G249" s="112">
        <f>E249*$G$279/100</f>
        <v>0</v>
      </c>
      <c r="H249" s="112">
        <f>E249*$H$279/100</f>
        <v>0</v>
      </c>
      <c r="I249" s="112">
        <f>SUM(F249:H249)</f>
        <v>0</v>
      </c>
      <c r="J249" s="112">
        <f>W249*$J$279/100</f>
        <v>0</v>
      </c>
      <c r="K249" s="112">
        <f>Q249*$K$279/100</f>
        <v>499.5371976489997</v>
      </c>
      <c r="L249" s="112">
        <f>Q249*$L$279/100</f>
        <v>762.9295382275632</v>
      </c>
      <c r="M249" s="112">
        <f>Q249*$M$279/100</f>
        <v>1126.2293183359266</v>
      </c>
      <c r="N249" s="122">
        <v>39.2375</v>
      </c>
      <c r="O249" s="122">
        <v>240</v>
      </c>
      <c r="P249" s="122">
        <v>495</v>
      </c>
      <c r="Q249" s="112">
        <f>X249*$Q$279/100</f>
        <v>2540.3768610058255</v>
      </c>
      <c r="R249" s="112">
        <f>I249+J249+K249+L249+M249+N249+O249+P249</f>
        <v>3162.9335542124895</v>
      </c>
      <c r="T249" s="10">
        <v>0</v>
      </c>
      <c r="U249" s="10">
        <v>0</v>
      </c>
      <c r="V249" s="10">
        <v>0</v>
      </c>
      <c r="W249" s="10">
        <v>0</v>
      </c>
      <c r="X249" s="10">
        <v>3794.3884</v>
      </c>
      <c r="Y249" s="10">
        <v>3794.3884</v>
      </c>
    </row>
    <row r="250" spans="1:25" ht="14.25">
      <c r="A250" s="3"/>
      <c r="B250" s="3"/>
      <c r="C250" s="101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T250" s="10"/>
      <c r="U250" s="10"/>
      <c r="V250" s="10"/>
      <c r="W250" s="10"/>
      <c r="X250" s="10"/>
      <c r="Y250" s="10"/>
    </row>
    <row r="251" spans="1:25" ht="14.25">
      <c r="A251" s="3"/>
      <c r="B251" s="3"/>
      <c r="C251" s="101" t="s">
        <v>350</v>
      </c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T251" s="10"/>
      <c r="U251" s="10"/>
      <c r="V251" s="10"/>
      <c r="W251" s="10"/>
      <c r="X251" s="10"/>
      <c r="Y251" s="10"/>
    </row>
    <row r="252" spans="1:25" ht="14.25">
      <c r="A252" s="3"/>
      <c r="B252" s="3">
        <v>153</v>
      </c>
      <c r="C252" s="117" t="s">
        <v>282</v>
      </c>
      <c r="D252" s="113">
        <f>T252*$D$279/100</f>
        <v>0</v>
      </c>
      <c r="E252" s="113">
        <f>U252*$E$279/100</f>
        <v>0</v>
      </c>
      <c r="F252" s="112">
        <f>D252+E252</f>
        <v>0</v>
      </c>
      <c r="G252" s="112">
        <f>E252*$G$279/100</f>
        <v>0</v>
      </c>
      <c r="H252" s="112">
        <f>E252*$H$279/100</f>
        <v>0</v>
      </c>
      <c r="I252" s="112">
        <f>SUM(F252:H252)</f>
        <v>0</v>
      </c>
      <c r="J252" s="112">
        <f>W252*$J$279/100</f>
        <v>0</v>
      </c>
      <c r="K252" s="112">
        <f>Q252*$K$279/100</f>
        <v>399.62975811919983</v>
      </c>
      <c r="L252" s="112">
        <f>Q252*$L$279/100</f>
        <v>610.3436305820507</v>
      </c>
      <c r="M252" s="112">
        <f>Q252*$M$279/100</f>
        <v>900.9834546687415</v>
      </c>
      <c r="N252" s="122">
        <v>39.2375</v>
      </c>
      <c r="O252" s="122">
        <v>240</v>
      </c>
      <c r="P252" s="122">
        <v>495</v>
      </c>
      <c r="Q252" s="112">
        <f>X252*$Q$279/100</f>
        <v>2032.3014888046607</v>
      </c>
      <c r="R252" s="112">
        <f>I252+J252+K252+L252+M252+N252+O252+P252</f>
        <v>2685.1943433699917</v>
      </c>
      <c r="T252" s="10">
        <v>0</v>
      </c>
      <c r="U252" s="10">
        <v>0</v>
      </c>
      <c r="V252" s="10">
        <v>0</v>
      </c>
      <c r="W252" s="10">
        <v>0</v>
      </c>
      <c r="X252" s="10">
        <v>3035.51072</v>
      </c>
      <c r="Y252" s="10">
        <v>3035.51072</v>
      </c>
    </row>
    <row r="253" spans="1:25" ht="14.25">
      <c r="A253" s="3"/>
      <c r="B253" s="3">
        <v>154</v>
      </c>
      <c r="C253" s="117" t="s">
        <v>273</v>
      </c>
      <c r="D253" s="113">
        <f>T253*$D$279/100</f>
        <v>0</v>
      </c>
      <c r="E253" s="113">
        <f>U253*$E$279/100</f>
        <v>0</v>
      </c>
      <c r="F253" s="112">
        <f>D253+E253</f>
        <v>0</v>
      </c>
      <c r="G253" s="112">
        <f>E253*$G$279/100</f>
        <v>0</v>
      </c>
      <c r="H253" s="112">
        <f>E253*$H$279/100</f>
        <v>0</v>
      </c>
      <c r="I253" s="112">
        <f>SUM(F253:H253)</f>
        <v>0</v>
      </c>
      <c r="J253" s="112">
        <f>W253*$J$279/100</f>
        <v>0</v>
      </c>
      <c r="K253" s="112">
        <f>Q253*$K$279/100</f>
        <v>399.62975811919983</v>
      </c>
      <c r="L253" s="112">
        <f>Q253*$L$279/100</f>
        <v>610.3436305820507</v>
      </c>
      <c r="M253" s="112">
        <f>Q253*$M$279/100</f>
        <v>900.9834546687415</v>
      </c>
      <c r="N253" s="122">
        <v>39.2375</v>
      </c>
      <c r="O253" s="122">
        <v>240</v>
      </c>
      <c r="P253" s="122">
        <v>495</v>
      </c>
      <c r="Q253" s="112">
        <f>X253*$Q$279/100</f>
        <v>2032.3014888046607</v>
      </c>
      <c r="R253" s="112">
        <f>I253+J253+K253+L253+M253+N253+O253+P253</f>
        <v>2685.1943433699917</v>
      </c>
      <c r="T253" s="10">
        <v>0</v>
      </c>
      <c r="U253" s="10">
        <v>0</v>
      </c>
      <c r="V253" s="10">
        <v>0</v>
      </c>
      <c r="W253" s="10">
        <v>0</v>
      </c>
      <c r="X253" s="10">
        <v>3035.51072</v>
      </c>
      <c r="Y253" s="10">
        <v>3035.51072</v>
      </c>
    </row>
    <row r="254" spans="1:25" ht="14.25">
      <c r="A254" s="3">
        <v>2</v>
      </c>
      <c r="B254" s="3"/>
      <c r="C254" s="101" t="s">
        <v>78</v>
      </c>
      <c r="D254" s="112">
        <f aca="true" t="shared" si="155" ref="D254:R254">SUM(D252:D253)</f>
        <v>0</v>
      </c>
      <c r="E254" s="112">
        <f t="shared" si="155"/>
        <v>0</v>
      </c>
      <c r="F254" s="112">
        <f t="shared" si="155"/>
        <v>0</v>
      </c>
      <c r="G254" s="112">
        <f t="shared" si="155"/>
        <v>0</v>
      </c>
      <c r="H254" s="112">
        <f t="shared" si="155"/>
        <v>0</v>
      </c>
      <c r="I254" s="112">
        <f t="shared" si="155"/>
        <v>0</v>
      </c>
      <c r="J254" s="112">
        <f t="shared" si="155"/>
        <v>0</v>
      </c>
      <c r="K254" s="112">
        <f t="shared" si="155"/>
        <v>799.2595162383997</v>
      </c>
      <c r="L254" s="112">
        <f t="shared" si="155"/>
        <v>1220.6872611641013</v>
      </c>
      <c r="M254" s="112">
        <f t="shared" si="155"/>
        <v>1801.966909337483</v>
      </c>
      <c r="N254" s="112">
        <f t="shared" si="155"/>
        <v>78.475</v>
      </c>
      <c r="O254" s="112">
        <f t="shared" si="155"/>
        <v>480</v>
      </c>
      <c r="P254" s="112">
        <f t="shared" si="155"/>
        <v>990</v>
      </c>
      <c r="Q254" s="112">
        <f t="shared" si="155"/>
        <v>4064.6029776093214</v>
      </c>
      <c r="R254" s="112">
        <f t="shared" si="155"/>
        <v>5370.388686739983</v>
      </c>
      <c r="T254" s="10">
        <v>0</v>
      </c>
      <c r="U254" s="10">
        <v>0</v>
      </c>
      <c r="V254" s="10">
        <v>0</v>
      </c>
      <c r="W254" s="10">
        <v>0</v>
      </c>
      <c r="X254" s="10">
        <v>6072.02144</v>
      </c>
      <c r="Y254" s="10">
        <v>6072.02144</v>
      </c>
    </row>
    <row r="255" spans="1:25" ht="14.25">
      <c r="A255" s="3"/>
      <c r="B255" s="3"/>
      <c r="C255" s="101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T255" s="10"/>
      <c r="U255" s="10"/>
      <c r="V255" s="10"/>
      <c r="W255" s="10"/>
      <c r="X255" s="10"/>
      <c r="Y255" s="10"/>
    </row>
    <row r="256" spans="1:25" ht="14.25">
      <c r="A256" s="3"/>
      <c r="B256" s="3">
        <v>155</v>
      </c>
      <c r="C256" s="117" t="s">
        <v>351</v>
      </c>
      <c r="D256" s="113">
        <f>T256*$D$279/100</f>
        <v>0</v>
      </c>
      <c r="E256" s="113">
        <f>U256*$E$279/100</f>
        <v>0</v>
      </c>
      <c r="F256" s="112">
        <f>D256+E256</f>
        <v>0</v>
      </c>
      <c r="G256" s="112">
        <f>E256*$G$279/100</f>
        <v>0</v>
      </c>
      <c r="H256" s="112">
        <f>E256*$H$279/100</f>
        <v>0</v>
      </c>
      <c r="I256" s="112">
        <f>SUM(F256:H256)</f>
        <v>0</v>
      </c>
      <c r="J256" s="112">
        <f>W256*$J$279/100</f>
        <v>0</v>
      </c>
      <c r="K256" s="112">
        <f>Q256*$K$279/100</f>
        <v>499.5371976489997</v>
      </c>
      <c r="L256" s="112">
        <f>Q256*$L$279/100</f>
        <v>762.9295382275632</v>
      </c>
      <c r="M256" s="112">
        <f>Q256*$M$279/100</f>
        <v>1126.2293183359266</v>
      </c>
      <c r="N256" s="122">
        <v>39.2375</v>
      </c>
      <c r="O256" s="122">
        <v>240</v>
      </c>
      <c r="P256" s="122">
        <v>495</v>
      </c>
      <c r="Q256" s="112">
        <f>X256*$Q$279/100</f>
        <v>2540.3768610058255</v>
      </c>
      <c r="R256" s="112">
        <f>I256+J256+K256+L256+M256+N256+O256+P256</f>
        <v>3162.9335542124895</v>
      </c>
      <c r="T256" s="10">
        <v>0</v>
      </c>
      <c r="U256" s="10">
        <v>0</v>
      </c>
      <c r="V256" s="10">
        <v>0</v>
      </c>
      <c r="W256" s="10">
        <v>0</v>
      </c>
      <c r="X256" s="10">
        <v>3794.3884</v>
      </c>
      <c r="Y256" s="10">
        <v>3794.3884</v>
      </c>
    </row>
    <row r="257" spans="1:25" ht="14.25">
      <c r="A257" s="3"/>
      <c r="B257" s="3">
        <v>156</v>
      </c>
      <c r="C257" s="117" t="s">
        <v>352</v>
      </c>
      <c r="D257" s="113">
        <f>T257*$D$279/100</f>
        <v>0</v>
      </c>
      <c r="E257" s="113">
        <f>U257*$E$279/100</f>
        <v>0</v>
      </c>
      <c r="F257" s="112">
        <f>D257+E257</f>
        <v>0</v>
      </c>
      <c r="G257" s="112">
        <f>E257*$G$279/100</f>
        <v>0</v>
      </c>
      <c r="H257" s="112">
        <f>E257*$H$279/100</f>
        <v>0</v>
      </c>
      <c r="I257" s="112">
        <f>SUM(F257:H257)</f>
        <v>0</v>
      </c>
      <c r="J257" s="112">
        <f>W257*$J$279/100</f>
        <v>0</v>
      </c>
      <c r="K257" s="112">
        <f>Q257*$K$279/100</f>
        <v>499.5371976489997</v>
      </c>
      <c r="L257" s="112">
        <f>Q257*$L$279/100</f>
        <v>762.9295382275632</v>
      </c>
      <c r="M257" s="112">
        <f>Q257*$M$279/100</f>
        <v>1126.2293183359266</v>
      </c>
      <c r="N257" s="122">
        <v>39.2375</v>
      </c>
      <c r="O257" s="122">
        <v>240</v>
      </c>
      <c r="P257" s="122">
        <v>495</v>
      </c>
      <c r="Q257" s="112">
        <f>X257*$Q$279/100</f>
        <v>2540.3768610058255</v>
      </c>
      <c r="R257" s="112">
        <f>I257+J257+K257+L257+M257+N257+O257+P257</f>
        <v>3162.9335542124895</v>
      </c>
      <c r="T257" s="10">
        <v>0</v>
      </c>
      <c r="U257" s="10">
        <v>0</v>
      </c>
      <c r="V257" s="10">
        <v>0</v>
      </c>
      <c r="W257" s="10">
        <v>0</v>
      </c>
      <c r="X257" s="10">
        <v>3794.3884</v>
      </c>
      <c r="Y257" s="10">
        <v>3794.3884</v>
      </c>
    </row>
    <row r="258" spans="1:25" ht="14.25">
      <c r="A258" s="3">
        <v>2</v>
      </c>
      <c r="B258" s="3"/>
      <c r="C258" s="101" t="s">
        <v>78</v>
      </c>
      <c r="D258" s="112">
        <f aca="true" t="shared" si="156" ref="D258:R258">SUM(D256:D257)</f>
        <v>0</v>
      </c>
      <c r="E258" s="112">
        <f t="shared" si="156"/>
        <v>0</v>
      </c>
      <c r="F258" s="112">
        <f t="shared" si="156"/>
        <v>0</v>
      </c>
      <c r="G258" s="112">
        <f t="shared" si="156"/>
        <v>0</v>
      </c>
      <c r="H258" s="112">
        <f t="shared" si="156"/>
        <v>0</v>
      </c>
      <c r="I258" s="112">
        <f t="shared" si="156"/>
        <v>0</v>
      </c>
      <c r="J258" s="112">
        <f t="shared" si="156"/>
        <v>0</v>
      </c>
      <c r="K258" s="112">
        <f t="shared" si="156"/>
        <v>999.0743952979994</v>
      </c>
      <c r="L258" s="112">
        <f t="shared" si="156"/>
        <v>1525.8590764551263</v>
      </c>
      <c r="M258" s="112">
        <f t="shared" si="156"/>
        <v>2252.458636671853</v>
      </c>
      <c r="N258" s="112">
        <f t="shared" si="156"/>
        <v>78.475</v>
      </c>
      <c r="O258" s="112">
        <f t="shared" si="156"/>
        <v>480</v>
      </c>
      <c r="P258" s="112">
        <f t="shared" si="156"/>
        <v>990</v>
      </c>
      <c r="Q258" s="112">
        <f t="shared" si="156"/>
        <v>5080.753722011651</v>
      </c>
      <c r="R258" s="112">
        <f t="shared" si="156"/>
        <v>6325.867108424979</v>
      </c>
      <c r="T258" s="10">
        <v>0</v>
      </c>
      <c r="U258" s="10">
        <v>0</v>
      </c>
      <c r="V258" s="10">
        <v>0</v>
      </c>
      <c r="W258" s="10">
        <v>0</v>
      </c>
      <c r="X258" s="10">
        <v>7587.7768</v>
      </c>
      <c r="Y258" s="10">
        <v>7587.7768</v>
      </c>
    </row>
    <row r="259" spans="1:25" ht="14.25">
      <c r="A259" s="3"/>
      <c r="B259" s="3"/>
      <c r="C259" s="101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T259" s="10"/>
      <c r="U259" s="10"/>
      <c r="V259" s="10"/>
      <c r="W259" s="10"/>
      <c r="X259" s="10"/>
      <c r="Y259" s="10"/>
    </row>
    <row r="260" spans="1:25" ht="14.25">
      <c r="A260" s="3">
        <v>1</v>
      </c>
      <c r="B260" s="3">
        <v>157</v>
      </c>
      <c r="C260" s="117" t="s">
        <v>353</v>
      </c>
      <c r="D260" s="113">
        <f>T260*$D$279/100</f>
        <v>0</v>
      </c>
      <c r="E260" s="113">
        <f>U260*$E$279/100</f>
        <v>0</v>
      </c>
      <c r="F260" s="112">
        <f>D260+E260</f>
        <v>0</v>
      </c>
      <c r="G260" s="112">
        <f>E260*$G$279/100</f>
        <v>0</v>
      </c>
      <c r="H260" s="112">
        <f>E260*$H$279/100</f>
        <v>0</v>
      </c>
      <c r="I260" s="112">
        <f>SUM(F260:H260)</f>
        <v>0</v>
      </c>
      <c r="J260" s="112">
        <f>W260*$J$279/100</f>
        <v>0</v>
      </c>
      <c r="K260" s="112">
        <f>Q260*$K$279/100</f>
        <v>399.62975811919983</v>
      </c>
      <c r="L260" s="112">
        <f>Q260*$L$279/100</f>
        <v>610.3436305820507</v>
      </c>
      <c r="M260" s="112">
        <f>Q260*$M$279/100</f>
        <v>900.9834546687415</v>
      </c>
      <c r="N260" s="122">
        <v>39.2375</v>
      </c>
      <c r="O260" s="122">
        <v>240</v>
      </c>
      <c r="P260" s="122">
        <v>495</v>
      </c>
      <c r="Q260" s="112">
        <f>X260*$Q$279/100</f>
        <v>2032.3014888046607</v>
      </c>
      <c r="R260" s="112">
        <f>I260+J260+K260+L260+M260+N260+O260+P260</f>
        <v>2685.1943433699917</v>
      </c>
      <c r="T260" s="10">
        <v>0</v>
      </c>
      <c r="U260" s="10">
        <v>0</v>
      </c>
      <c r="V260" s="10">
        <v>0</v>
      </c>
      <c r="W260" s="10">
        <v>0</v>
      </c>
      <c r="X260" s="10">
        <v>3035.51072</v>
      </c>
      <c r="Y260" s="10">
        <v>3035.51072</v>
      </c>
    </row>
    <row r="261" spans="1:25" ht="14.25">
      <c r="A261" s="3"/>
      <c r="B261" s="3"/>
      <c r="C261" s="101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T261" s="10"/>
      <c r="U261" s="10"/>
      <c r="V261" s="10"/>
      <c r="W261" s="10"/>
      <c r="X261" s="10"/>
      <c r="Y261" s="10"/>
    </row>
    <row r="262" spans="1:25" ht="14.25">
      <c r="A262" s="3">
        <v>1</v>
      </c>
      <c r="B262" s="3">
        <v>158</v>
      </c>
      <c r="C262" s="117" t="s">
        <v>354</v>
      </c>
      <c r="D262" s="113">
        <v>11</v>
      </c>
      <c r="E262" s="113">
        <f>U262*$E$279/100</f>
        <v>0</v>
      </c>
      <c r="F262" s="112">
        <f>D262+E262</f>
        <v>11</v>
      </c>
      <c r="G262" s="112">
        <f>E262*$G$279/100</f>
        <v>0</v>
      </c>
      <c r="H262" s="112">
        <f>E262*$H$279/100</f>
        <v>0</v>
      </c>
      <c r="I262" s="112">
        <f>SUM(F262:H262)</f>
        <v>11</v>
      </c>
      <c r="J262" s="112">
        <f>W262*$J$279/100</f>
        <v>245.75981644399545</v>
      </c>
      <c r="K262" s="112">
        <f>Q262*$K$279/100</f>
        <v>399.62975811919983</v>
      </c>
      <c r="L262" s="112">
        <f>Q262*$L$279/100</f>
        <v>610.3436305820507</v>
      </c>
      <c r="M262" s="112">
        <f>Q262*$M$279/100</f>
        <v>900.9834546687415</v>
      </c>
      <c r="N262" s="122">
        <v>39.2375</v>
      </c>
      <c r="O262" s="122">
        <v>240</v>
      </c>
      <c r="P262" s="122">
        <v>495</v>
      </c>
      <c r="Q262" s="112">
        <f>X262*$Q$279/100</f>
        <v>2032.3014888046607</v>
      </c>
      <c r="R262" s="112">
        <f>I262+J262+K262+L262+M262+N262+O262+P262</f>
        <v>2941.9541598139876</v>
      </c>
      <c r="T262" s="10">
        <v>12</v>
      </c>
      <c r="U262" s="10">
        <v>0</v>
      </c>
      <c r="V262" s="10">
        <v>12</v>
      </c>
      <c r="W262" s="10">
        <v>57</v>
      </c>
      <c r="X262" s="10">
        <v>3035.51072</v>
      </c>
      <c r="Y262" s="10">
        <v>3104.51072</v>
      </c>
    </row>
    <row r="263" spans="1:25" ht="14.25">
      <c r="A263" s="3"/>
      <c r="B263" s="3"/>
      <c r="C263" s="101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T263" s="10"/>
      <c r="U263" s="10"/>
      <c r="V263" s="10"/>
      <c r="W263" s="10"/>
      <c r="X263" s="10"/>
      <c r="Y263" s="10"/>
    </row>
    <row r="264" spans="1:25" ht="14.25">
      <c r="A264" s="3">
        <v>1</v>
      </c>
      <c r="B264" s="3">
        <v>159</v>
      </c>
      <c r="C264" s="117" t="s">
        <v>355</v>
      </c>
      <c r="D264" s="113">
        <f>T264*$D$279/100</f>
        <v>0</v>
      </c>
      <c r="E264" s="113">
        <f>U264*$E$279/100</f>
        <v>0</v>
      </c>
      <c r="F264" s="112">
        <f>D264+E264</f>
        <v>0</v>
      </c>
      <c r="G264" s="112">
        <f>E264*$G$279/100</f>
        <v>0</v>
      </c>
      <c r="H264" s="112">
        <f>E264*$H$279/100</f>
        <v>0</v>
      </c>
      <c r="I264" s="112">
        <f>SUM(F264:H264)</f>
        <v>0</v>
      </c>
      <c r="J264" s="112">
        <f>W264*$J$279/100</f>
        <v>522.8832764606358</v>
      </c>
      <c r="K264" s="112">
        <f>Q264*$K$279/100</f>
        <v>77.39502071732969</v>
      </c>
      <c r="L264" s="112">
        <f>Q264*$L$279/100</f>
        <v>118.20330436828533</v>
      </c>
      <c r="M264" s="112">
        <f>Q264*$M$279/100</f>
        <v>174.49059216270692</v>
      </c>
      <c r="N264" s="122">
        <v>39.2375</v>
      </c>
      <c r="O264" s="122">
        <v>240</v>
      </c>
      <c r="P264" s="122">
        <v>495</v>
      </c>
      <c r="Q264" s="112">
        <f>X264*$Q$279/100</f>
        <v>393.58934772565385</v>
      </c>
      <c r="R264" s="112">
        <f>I264+J264+K264+L264+M264+N264+O264+P264</f>
        <v>1667.2096937089577</v>
      </c>
      <c r="T264" s="10">
        <v>0</v>
      </c>
      <c r="U264" s="10">
        <v>0</v>
      </c>
      <c r="V264" s="10">
        <v>0</v>
      </c>
      <c r="W264" s="10">
        <v>121.274288</v>
      </c>
      <c r="X264" s="10">
        <v>587.87768</v>
      </c>
      <c r="Y264" s="10">
        <v>709.151968</v>
      </c>
    </row>
    <row r="265" spans="1:25" ht="14.25">
      <c r="A265" s="3"/>
      <c r="B265" s="3"/>
      <c r="C265" s="101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T265" s="10"/>
      <c r="U265" s="10"/>
      <c r="V265" s="10"/>
      <c r="W265" s="10"/>
      <c r="X265" s="10"/>
      <c r="Y265" s="10"/>
    </row>
    <row r="266" spans="1:25" ht="14.25">
      <c r="A266" s="3">
        <v>1</v>
      </c>
      <c r="B266" s="3">
        <v>160</v>
      </c>
      <c r="C266" s="101" t="s">
        <v>356</v>
      </c>
      <c r="D266" s="113">
        <f>T266*$D$279/100</f>
        <v>0</v>
      </c>
      <c r="E266" s="113">
        <f>U266*$E$279/100</f>
        <v>0</v>
      </c>
      <c r="F266" s="112">
        <f>D266+E266</f>
        <v>0</v>
      </c>
      <c r="G266" s="112">
        <f>E266*$G$279/100</f>
        <v>0</v>
      </c>
      <c r="H266" s="112">
        <f>E266*$H$279/100</f>
        <v>0</v>
      </c>
      <c r="I266" s="112">
        <f>SUM(F266:H266)</f>
        <v>0</v>
      </c>
      <c r="J266" s="112">
        <f>W266*$J$279/100</f>
        <v>0</v>
      </c>
      <c r="K266" s="112">
        <f>Q266*$K$279/100</f>
        <v>65.82578600137505</v>
      </c>
      <c r="L266" s="112">
        <f>Q266*$L$279/100</f>
        <v>100.53392771119097</v>
      </c>
      <c r="M266" s="112">
        <f>Q266*$M$279/100</f>
        <v>148.40722662128192</v>
      </c>
      <c r="N266" s="122">
        <v>39.2375</v>
      </c>
      <c r="O266" s="122">
        <v>241</v>
      </c>
      <c r="P266" s="122">
        <v>495</v>
      </c>
      <c r="Q266" s="112">
        <f>X266*$Q$279/100</f>
        <v>334.7544575307348</v>
      </c>
      <c r="R266" s="112">
        <f>I266+J266+K266+L266+M266+N266+O266+P266-1</f>
        <v>1089.004440333848</v>
      </c>
      <c r="T266" s="10">
        <v>0</v>
      </c>
      <c r="U266" s="10">
        <v>0</v>
      </c>
      <c r="V266" s="10">
        <v>0</v>
      </c>
      <c r="W266" s="10">
        <v>0</v>
      </c>
      <c r="X266" s="10">
        <v>500</v>
      </c>
      <c r="Y266" s="10">
        <v>500</v>
      </c>
    </row>
    <row r="267" spans="1:25" ht="14.25">
      <c r="A267" s="3"/>
      <c r="B267" s="3"/>
      <c r="C267" s="101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T267" s="10"/>
      <c r="U267" s="10"/>
      <c r="V267" s="10"/>
      <c r="W267" s="10"/>
      <c r="X267" s="10"/>
      <c r="Y267" s="10"/>
    </row>
    <row r="268" spans="1:25" ht="14.25">
      <c r="A268" s="3">
        <v>160</v>
      </c>
      <c r="B268" s="3"/>
      <c r="C268" s="173" t="s">
        <v>357</v>
      </c>
      <c r="D268" s="123">
        <f aca="true" t="shared" si="157" ref="D268:P268">D20+D23+D35+D45+D49+D62+D65+D73+D90+D102+D105+D113+D118+D123+D132+D135+D144+D149+D159+D164+D175+D178+D181+D187+D189+D192+D200+D220+D223+D229+D231+D234+D236+D241+D245+D247+D249+D254+D258+D260+D262+D264+D266</f>
        <v>260968.42764710225</v>
      </c>
      <c r="E268" s="123">
        <f t="shared" si="157"/>
        <v>360715.7598532093</v>
      </c>
      <c r="F268" s="123">
        <f t="shared" si="157"/>
        <v>621684.1875003114</v>
      </c>
      <c r="G268" s="123">
        <f t="shared" si="157"/>
        <v>43663.43500750372</v>
      </c>
      <c r="H268" s="123">
        <f t="shared" si="157"/>
        <v>40896.96707569646</v>
      </c>
      <c r="I268" s="123">
        <f t="shared" si="157"/>
        <v>706244.5895835118</v>
      </c>
      <c r="J268" s="123">
        <f t="shared" si="157"/>
        <v>4094198.0995164365</v>
      </c>
      <c r="K268" s="123">
        <f t="shared" si="157"/>
        <v>663795.1638650843</v>
      </c>
      <c r="L268" s="123">
        <f t="shared" si="157"/>
        <v>1014025.8502666742</v>
      </c>
      <c r="M268" s="123">
        <f t="shared" si="157"/>
        <v>1496747.96944128</v>
      </c>
      <c r="N268" s="123">
        <f t="shared" si="157"/>
        <v>6278.000000000005</v>
      </c>
      <c r="O268" s="123">
        <f t="shared" si="157"/>
        <v>38800.5</v>
      </c>
      <c r="P268" s="123">
        <f t="shared" si="157"/>
        <v>80175.125</v>
      </c>
      <c r="Q268" s="123">
        <f>Q20+Q23+Q35+Q45+Q49+Q62+Q65+Q73+Q90+Q102+Q105+Q113+Q118+Q123+Q132+Q135+Q144+Q149+Q159+Q164+Q175+Q178+Q181+Q187+Q189+Q192+Q200+Q220+Q223+Q229+Q231+Q236+Q241+Q245+Q247+Q249+Q254+Q258+Q260+Q262+Q264+Q266</f>
        <v>3374343.2965926654</v>
      </c>
      <c r="R268" s="123">
        <f>R20+R23+R35+R45+R49+R62+R65+R73+R90+R102+R105+R113+R118+R123+R132+R135+R144+R149+R159+R164+R175+R178+R181+R187+R189+R192+R200+R220+R223+R229+R231+R234+R236+R241+R245+R247+R249+R254+R258+R260+R262+R264+R266</f>
        <v>8100264.297672989</v>
      </c>
      <c r="T268" s="10">
        <v>290057.209010669</v>
      </c>
      <c r="U268" s="10">
        <v>405146.316239689</v>
      </c>
      <c r="V268" s="10">
        <v>695202.525250358</v>
      </c>
      <c r="W268" s="10">
        <v>949582.938635607</v>
      </c>
      <c r="X268" s="10">
        <v>5043063.94079963</v>
      </c>
      <c r="Y268" s="10">
        <v>6687849.4046856</v>
      </c>
    </row>
    <row r="269" spans="1:25" ht="14.25">
      <c r="A269" s="3"/>
      <c r="B269" s="157"/>
      <c r="C269" s="174"/>
      <c r="D269" s="175"/>
      <c r="E269" s="175"/>
      <c r="F269" s="175"/>
      <c r="G269" s="175"/>
      <c r="H269" s="175"/>
      <c r="I269" s="175"/>
      <c r="J269" s="175"/>
      <c r="K269" s="175"/>
      <c r="L269" s="175"/>
      <c r="M269" s="175"/>
      <c r="N269" s="175"/>
      <c r="O269" s="175"/>
      <c r="P269" s="175"/>
      <c r="Q269" s="175"/>
      <c r="R269" s="175"/>
      <c r="T269" s="10">
        <v>-0.182160542986821</v>
      </c>
      <c r="U269" s="10">
        <v>1.43942932580831</v>
      </c>
      <c r="V269" s="10">
        <v>1.25726878282148</v>
      </c>
      <c r="W269" s="10">
        <v>0.213656126055866</v>
      </c>
      <c r="X269" s="10">
        <v>-0.288586943410337</v>
      </c>
      <c r="Y269" s="10">
        <v>0.182337964884937</v>
      </c>
    </row>
    <row r="270" spans="1:25" s="12" customFormat="1" ht="14.25">
      <c r="A270" s="36"/>
      <c r="B270" s="170"/>
      <c r="C270" s="167"/>
      <c r="D270" s="153"/>
      <c r="E270" s="153"/>
      <c r="F270" s="153"/>
      <c r="G270" s="153"/>
      <c r="H270" s="153"/>
      <c r="I270" s="153"/>
      <c r="J270" s="153"/>
      <c r="K270" s="153"/>
      <c r="L270" s="153"/>
      <c r="M270" s="153"/>
      <c r="N270" s="153"/>
      <c r="O270" s="153"/>
      <c r="P270" s="153"/>
      <c r="Q270" s="153"/>
      <c r="R270" s="153"/>
      <c r="T270" s="30">
        <v>290057.391171212</v>
      </c>
      <c r="U270" s="30">
        <v>405144.876810363</v>
      </c>
      <c r="V270" s="30">
        <v>695202.267981575</v>
      </c>
      <c r="W270" s="30">
        <v>949582.724979481</v>
      </c>
      <c r="X270" s="30">
        <v>5043064.22938658</v>
      </c>
      <c r="Y270" s="30">
        <v>6687849.22234763</v>
      </c>
    </row>
    <row r="271" spans="1:25" ht="14.25">
      <c r="A271" s="3"/>
      <c r="B271" s="157"/>
      <c r="C271" s="161"/>
      <c r="D271" s="153"/>
      <c r="E271" s="153"/>
      <c r="F271" s="153"/>
      <c r="G271" s="153"/>
      <c r="H271" s="153"/>
      <c r="I271" s="153"/>
      <c r="J271" s="153"/>
      <c r="K271" s="153"/>
      <c r="L271" s="153"/>
      <c r="M271" s="153"/>
      <c r="N271" s="153"/>
      <c r="O271" s="153"/>
      <c r="P271" s="153"/>
      <c r="Q271" s="153"/>
      <c r="R271" s="153"/>
      <c r="T271" s="6"/>
      <c r="U271" s="6"/>
      <c r="V271" s="6"/>
      <c r="W271" s="6"/>
      <c r="X271" s="6"/>
      <c r="Y271" s="6"/>
    </row>
    <row r="272" spans="1:25" ht="14.25">
      <c r="A272" s="3"/>
      <c r="B272" s="157"/>
      <c r="C272" s="161"/>
      <c r="D272" s="171"/>
      <c r="E272" s="171"/>
      <c r="F272" s="171"/>
      <c r="G272" s="152"/>
      <c r="H272" s="152"/>
      <c r="I272" s="152"/>
      <c r="J272" s="171"/>
      <c r="K272" s="152"/>
      <c r="L272" s="152"/>
      <c r="M272" s="152"/>
      <c r="N272" s="152"/>
      <c r="O272" s="152"/>
      <c r="P272" s="152"/>
      <c r="Q272" s="171"/>
      <c r="R272" s="151"/>
      <c r="T272" s="6"/>
      <c r="U272" s="6"/>
      <c r="V272" s="6"/>
      <c r="W272" s="6"/>
      <c r="X272" s="6"/>
      <c r="Y272" s="6"/>
    </row>
    <row r="273" spans="3:18" ht="14.25">
      <c r="C273" s="163"/>
      <c r="D273" s="151"/>
      <c r="E273" s="151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</row>
    <row r="274" spans="3:18" ht="14.25">
      <c r="C274" s="163"/>
      <c r="D274" s="151"/>
      <c r="E274" s="151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</row>
    <row r="275" spans="3:18" ht="14.25">
      <c r="C275" s="163"/>
      <c r="D275" s="153"/>
      <c r="E275" s="153"/>
      <c r="F275" s="153"/>
      <c r="G275" s="153"/>
      <c r="H275" s="153"/>
      <c r="I275" s="153"/>
      <c r="J275" s="153"/>
      <c r="K275" s="153"/>
      <c r="L275" s="153"/>
      <c r="M275" s="153"/>
      <c r="N275" s="153"/>
      <c r="O275" s="153"/>
      <c r="P275" s="153"/>
      <c r="Q275" s="153"/>
      <c r="R275" s="153"/>
    </row>
    <row r="276" spans="3:18" ht="14.25">
      <c r="C276" s="163"/>
      <c r="D276" s="151"/>
      <c r="E276" s="151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</row>
    <row r="277" spans="3:20" s="53" customFormat="1" ht="14.25">
      <c r="C277" s="172"/>
      <c r="D277" s="153"/>
      <c r="E277" s="153"/>
      <c r="F277" s="153"/>
      <c r="G277" s="153"/>
      <c r="H277" s="153"/>
      <c r="I277" s="153"/>
      <c r="J277" s="153"/>
      <c r="K277" s="153"/>
      <c r="L277" s="153"/>
      <c r="M277" s="153"/>
      <c r="N277" s="153"/>
      <c r="O277" s="153"/>
      <c r="P277" s="153"/>
      <c r="Q277" s="153"/>
      <c r="R277" s="153"/>
      <c r="S277" s="55">
        <v>6687849.22234763</v>
      </c>
      <c r="T277" s="55"/>
    </row>
    <row r="278" spans="3:18" ht="14.25">
      <c r="C278" s="163"/>
      <c r="D278" s="167"/>
      <c r="E278" s="167"/>
      <c r="F278" s="167"/>
      <c r="G278" s="163"/>
      <c r="H278" s="163"/>
      <c r="I278" s="163"/>
      <c r="J278" s="167"/>
      <c r="K278" s="163"/>
      <c r="L278" s="163"/>
      <c r="M278" s="163"/>
      <c r="N278" s="163"/>
      <c r="O278" s="163"/>
      <c r="P278" s="163"/>
      <c r="Q278" s="167"/>
      <c r="R278" s="167"/>
    </row>
    <row r="279" spans="3:19" ht="14.25">
      <c r="C279" s="163"/>
      <c r="D279" s="164"/>
      <c r="E279" s="164"/>
      <c r="F279" s="164"/>
      <c r="G279" s="165"/>
      <c r="H279" s="165"/>
      <c r="I279" s="165"/>
      <c r="J279" s="164"/>
      <c r="K279" s="165"/>
      <c r="L279" s="165"/>
      <c r="M279" s="165"/>
      <c r="N279" s="166"/>
      <c r="O279" s="166"/>
      <c r="P279" s="166"/>
      <c r="Q279" s="164"/>
      <c r="R279" s="163"/>
      <c r="S279" s="56"/>
    </row>
    <row r="280" spans="3:18" ht="14.25">
      <c r="C280" s="163"/>
      <c r="D280" s="168"/>
      <c r="E280" s="167"/>
      <c r="F280" s="167"/>
      <c r="G280" s="163"/>
      <c r="H280" s="163"/>
      <c r="I280" s="163"/>
      <c r="J280" s="167"/>
      <c r="K280" s="163"/>
      <c r="L280" s="163"/>
      <c r="M280" s="163"/>
      <c r="N280" s="163"/>
      <c r="O280" s="163"/>
      <c r="P280" s="163"/>
      <c r="Q280" s="167"/>
      <c r="R280" s="167"/>
    </row>
    <row r="281" spans="3:18" ht="14.25">
      <c r="C281" s="163"/>
      <c r="D281" s="167"/>
      <c r="E281" s="167"/>
      <c r="F281" s="167"/>
      <c r="G281" s="163"/>
      <c r="H281" s="163"/>
      <c r="I281" s="163"/>
      <c r="J281" s="167"/>
      <c r="K281" s="163"/>
      <c r="L281" s="163"/>
      <c r="M281" s="163"/>
      <c r="N281" s="163"/>
      <c r="O281" s="163"/>
      <c r="P281" s="163"/>
      <c r="Q281" s="167"/>
      <c r="R281" s="167"/>
    </row>
    <row r="282" spans="3:18" ht="14.25">
      <c r="C282" s="163"/>
      <c r="D282" s="167"/>
      <c r="E282" s="167"/>
      <c r="F282" s="167"/>
      <c r="G282" s="163"/>
      <c r="H282" s="163"/>
      <c r="I282" s="163"/>
      <c r="J282" s="167"/>
      <c r="K282" s="163"/>
      <c r="L282" s="163"/>
      <c r="M282" s="163"/>
      <c r="N282" s="163"/>
      <c r="O282" s="163"/>
      <c r="P282" s="163"/>
      <c r="Q282" s="167"/>
      <c r="R282" s="167"/>
    </row>
    <row r="285" spans="4:18" ht="14.25">
      <c r="D285" s="37"/>
      <c r="E285" s="37"/>
      <c r="F285" s="37"/>
      <c r="G285" s="13"/>
      <c r="H285" s="13"/>
      <c r="I285" s="13"/>
      <c r="J285" s="37"/>
      <c r="K285" s="13"/>
      <c r="L285" s="13"/>
      <c r="M285" s="13"/>
      <c r="N285" s="13"/>
      <c r="O285" s="13"/>
      <c r="P285" s="13"/>
      <c r="Q285" s="37"/>
      <c r="R285" s="37"/>
    </row>
    <row r="289" spans="4:18" ht="14.25">
      <c r="D289" s="37"/>
      <c r="E289" s="37"/>
      <c r="F289" s="37"/>
      <c r="G289" s="13"/>
      <c r="H289" s="13"/>
      <c r="I289" s="13"/>
      <c r="J289" s="37"/>
      <c r="K289" s="13"/>
      <c r="L289" s="13"/>
      <c r="M289" s="13"/>
      <c r="N289" s="13"/>
      <c r="O289" s="13"/>
      <c r="P289" s="13"/>
      <c r="Q289" s="37"/>
      <c r="R289" s="37"/>
    </row>
    <row r="292" spans="4:18" ht="14.25"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</row>
  </sheetData>
  <sheetProtection selectLockedCells="1" selectUnlockedCells="1"/>
  <printOptions/>
  <pageMargins left="0.7000000000000001" right="0.7000000000000001" top="0.75" bottom="0.75" header="0.5118055555555556" footer="0.5118055555555556"/>
  <pageSetup horizontalDpi="300" verticalDpi="300" orientation="landscape" paperSize="9" scale="68" r:id="rId1"/>
  <rowBreaks count="4" manualBreakCount="4">
    <brk id="49" min="2" max="17" man="1"/>
    <brk id="91" min="2" max="17" man="1"/>
    <brk id="136" min="2" max="17" man="1"/>
    <brk id="237" min="2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Y108"/>
  <sheetViews>
    <sheetView view="pageBreakPreview" zoomScale="60" zoomScaleNormal="85" zoomScalePageLayoutView="0" workbookViewId="0" topLeftCell="A1">
      <pane xSplit="3" ySplit="7" topLeftCell="D62" activePane="bottomRight" state="frozen"/>
      <selection pane="topLeft" activeCell="A1" sqref="A1"/>
      <selection pane="topRight" activeCell="N1" sqref="N1"/>
      <selection pane="bottomLeft" activeCell="A65" sqref="A65"/>
      <selection pane="bottomRight" activeCell="N101" sqref="N101"/>
    </sheetView>
  </sheetViews>
  <sheetFormatPr defaultColWidth="9.00390625" defaultRowHeight="14.25"/>
  <cols>
    <col min="1" max="1" width="5.875" style="0" customWidth="1"/>
    <col min="2" max="2" width="7.50390625" style="0" customWidth="1"/>
    <col min="3" max="3" width="21.75390625" style="0" customWidth="1"/>
    <col min="4" max="6" width="10.75390625" style="12" customWidth="1"/>
    <col min="7" max="9" width="10.75390625" style="0" customWidth="1"/>
    <col min="10" max="10" width="10.75390625" style="12" customWidth="1"/>
    <col min="11" max="16" width="10.75390625" style="0" customWidth="1"/>
    <col min="17" max="17" width="0" style="12" hidden="1" customWidth="1"/>
    <col min="18" max="18" width="10.75390625" style="12" customWidth="1"/>
    <col min="19" max="19" width="3.25390625" style="1" hidden="1" customWidth="1"/>
    <col min="20" max="25" width="10.75390625" style="2" hidden="1" customWidth="1"/>
  </cols>
  <sheetData>
    <row r="1" spans="1:25" ht="18">
      <c r="A1" s="101"/>
      <c r="B1" s="101"/>
      <c r="C1" s="98" t="s">
        <v>51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T1" s="6"/>
      <c r="U1" s="6"/>
      <c r="V1" s="6"/>
      <c r="W1" s="6"/>
      <c r="X1" s="6"/>
      <c r="Y1" s="6"/>
    </row>
    <row r="2" spans="1:25" ht="14.25">
      <c r="A2" s="101"/>
      <c r="B2" s="101"/>
      <c r="C2" s="101" t="s">
        <v>48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T2" s="6"/>
      <c r="U2" s="6"/>
      <c r="V2" s="6"/>
      <c r="W2" s="6"/>
      <c r="X2" s="6"/>
      <c r="Y2" s="6"/>
    </row>
    <row r="3" spans="1:25" ht="14.25">
      <c r="A3" s="101"/>
      <c r="B3" s="101"/>
      <c r="C3" s="101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 t="s">
        <v>359</v>
      </c>
      <c r="Q3" s="126"/>
      <c r="R3" s="126"/>
      <c r="T3" s="45"/>
      <c r="U3" s="45"/>
      <c r="V3" s="45"/>
      <c r="W3" s="45" t="s">
        <v>359</v>
      </c>
      <c r="X3" s="45"/>
      <c r="Y3" s="45"/>
    </row>
    <row r="4" spans="1:25" ht="14.25">
      <c r="A4" s="101"/>
      <c r="B4" s="101"/>
      <c r="C4" s="101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T4" s="45"/>
      <c r="U4" s="45"/>
      <c r="V4" s="45"/>
      <c r="W4" s="45"/>
      <c r="X4" s="45"/>
      <c r="Y4" s="45"/>
    </row>
    <row r="5" spans="1:25" ht="54">
      <c r="A5" s="101"/>
      <c r="B5" s="117" t="s">
        <v>54</v>
      </c>
      <c r="C5" s="101" t="s">
        <v>55</v>
      </c>
      <c r="D5" s="126" t="s">
        <v>3</v>
      </c>
      <c r="E5" s="132" t="s">
        <v>4</v>
      </c>
      <c r="F5" s="126" t="s">
        <v>5</v>
      </c>
      <c r="G5" s="133" t="s">
        <v>6</v>
      </c>
      <c r="H5" s="133" t="s">
        <v>7</v>
      </c>
      <c r="I5" s="133" t="s">
        <v>8</v>
      </c>
      <c r="J5" s="133" t="s">
        <v>9</v>
      </c>
      <c r="K5" s="133" t="s">
        <v>10</v>
      </c>
      <c r="L5" s="133" t="s">
        <v>11</v>
      </c>
      <c r="M5" s="133" t="s">
        <v>12</v>
      </c>
      <c r="N5" s="133" t="s">
        <v>13</v>
      </c>
      <c r="O5" s="133" t="s">
        <v>14</v>
      </c>
      <c r="P5" s="133" t="s">
        <v>15</v>
      </c>
      <c r="Q5" s="126" t="s">
        <v>16</v>
      </c>
      <c r="R5" s="126" t="s">
        <v>17</v>
      </c>
      <c r="T5" s="45" t="s">
        <v>3</v>
      </c>
      <c r="U5" s="48" t="s">
        <v>4</v>
      </c>
      <c r="V5" s="45" t="s">
        <v>5</v>
      </c>
      <c r="W5" s="45" t="s">
        <v>18</v>
      </c>
      <c r="X5" s="45" t="s">
        <v>16</v>
      </c>
      <c r="Y5" s="45" t="s">
        <v>17</v>
      </c>
    </row>
    <row r="6" spans="1:25" ht="14.25">
      <c r="A6" s="101"/>
      <c r="B6" s="101" t="s">
        <v>56</v>
      </c>
      <c r="C6" s="101" t="s">
        <v>57</v>
      </c>
      <c r="D6" s="126" t="s">
        <v>19</v>
      </c>
      <c r="E6" s="126" t="s">
        <v>19</v>
      </c>
      <c r="F6" s="126" t="s">
        <v>19</v>
      </c>
      <c r="G6" s="126"/>
      <c r="H6" s="126"/>
      <c r="I6" s="126"/>
      <c r="J6" s="126" t="s">
        <v>20</v>
      </c>
      <c r="K6" s="126"/>
      <c r="L6" s="126"/>
      <c r="M6" s="126"/>
      <c r="N6" s="126"/>
      <c r="O6" s="126"/>
      <c r="P6" s="126"/>
      <c r="Q6" s="126" t="s">
        <v>21</v>
      </c>
      <c r="R6" s="126"/>
      <c r="T6" s="45" t="s">
        <v>19</v>
      </c>
      <c r="U6" s="45" t="s">
        <v>19</v>
      </c>
      <c r="V6" s="45" t="s">
        <v>19</v>
      </c>
      <c r="W6" s="45" t="s">
        <v>20</v>
      </c>
      <c r="X6" s="45" t="s">
        <v>21</v>
      </c>
      <c r="Y6" s="45"/>
    </row>
    <row r="7" spans="1:25" ht="14.25">
      <c r="A7" s="101"/>
      <c r="B7" s="101"/>
      <c r="C7" s="101"/>
      <c r="D7" s="101" t="s">
        <v>22</v>
      </c>
      <c r="E7" s="101" t="s">
        <v>22</v>
      </c>
      <c r="F7" s="101" t="s">
        <v>22</v>
      </c>
      <c r="G7" s="101" t="s">
        <v>22</v>
      </c>
      <c r="H7" s="101" t="s">
        <v>22</v>
      </c>
      <c r="I7" s="101" t="s">
        <v>22</v>
      </c>
      <c r="J7" s="101" t="s">
        <v>22</v>
      </c>
      <c r="K7" s="101" t="s">
        <v>22</v>
      </c>
      <c r="L7" s="101" t="s">
        <v>22</v>
      </c>
      <c r="M7" s="101" t="s">
        <v>22</v>
      </c>
      <c r="N7" s="101" t="s">
        <v>22</v>
      </c>
      <c r="O7" s="101" t="s">
        <v>22</v>
      </c>
      <c r="P7" s="101" t="s">
        <v>22</v>
      </c>
      <c r="Q7" s="101" t="s">
        <v>22</v>
      </c>
      <c r="R7" s="101" t="s">
        <v>22</v>
      </c>
      <c r="T7" s="45" t="s">
        <v>23</v>
      </c>
      <c r="U7" s="45" t="s">
        <v>23</v>
      </c>
      <c r="V7" s="45" t="s">
        <v>23</v>
      </c>
      <c r="W7" s="45" t="s">
        <v>23</v>
      </c>
      <c r="X7" s="45" t="s">
        <v>23</v>
      </c>
      <c r="Y7" s="45" t="s">
        <v>23</v>
      </c>
    </row>
    <row r="8" spans="1:25" ht="14.25">
      <c r="A8" s="101"/>
      <c r="B8" s="101"/>
      <c r="C8" s="101" t="s">
        <v>59</v>
      </c>
      <c r="D8" s="126"/>
      <c r="E8" s="126"/>
      <c r="F8" s="126"/>
      <c r="G8" s="126"/>
      <c r="H8" s="126"/>
      <c r="I8" s="126"/>
      <c r="J8" s="101"/>
      <c r="K8" s="126"/>
      <c r="L8" s="126"/>
      <c r="M8" s="126"/>
      <c r="N8" s="126"/>
      <c r="O8" s="126"/>
      <c r="P8" s="126"/>
      <c r="Q8" s="126"/>
      <c r="R8" s="126"/>
      <c r="T8" s="45"/>
      <c r="U8" s="45"/>
      <c r="V8" s="45"/>
      <c r="W8" s="45"/>
      <c r="X8" s="45"/>
      <c r="Y8" s="45"/>
    </row>
    <row r="9" spans="1:25" ht="14.25">
      <c r="A9" s="101"/>
      <c r="B9" s="101">
        <v>1</v>
      </c>
      <c r="C9" s="117" t="s">
        <v>360</v>
      </c>
      <c r="D9" s="113">
        <f>T9*$D$97/100</f>
        <v>0</v>
      </c>
      <c r="E9" s="113">
        <f>U9*$E$97/100</f>
        <v>335.28380077683505</v>
      </c>
      <c r="F9" s="112">
        <f>D9+E9</f>
        <v>335.28380077683505</v>
      </c>
      <c r="G9" s="112">
        <f>E9*$G$97/100</f>
        <v>40.58498151077641</v>
      </c>
      <c r="H9" s="112">
        <f>E9*$H$97/100</f>
        <v>38.013561056951424</v>
      </c>
      <c r="I9" s="112">
        <f>F9+G9+H9</f>
        <v>413.88234334456286</v>
      </c>
      <c r="J9" s="113">
        <f>W9*$J$97/100</f>
        <v>69208.98346105305</v>
      </c>
      <c r="K9" s="112">
        <f>Q9*$K$97/100+10000</f>
        <v>24839.745762352897</v>
      </c>
      <c r="L9" s="112">
        <f>Q9*$L$97/100+5000</f>
        <v>27664.33898250261</v>
      </c>
      <c r="M9" s="112">
        <f>Q9*$M$97/100+10000</f>
        <v>43456.881355122896</v>
      </c>
      <c r="N9" s="122">
        <v>200</v>
      </c>
      <c r="O9" s="122">
        <v>1100</v>
      </c>
      <c r="P9" s="122">
        <v>2509</v>
      </c>
      <c r="Q9" s="113">
        <f>X9*$Q$97/100</f>
        <v>75466.9460759146</v>
      </c>
      <c r="R9" s="112">
        <f>SUM(I9:P9)</f>
        <v>169392.831904376</v>
      </c>
      <c r="T9" s="10">
        <v>0</v>
      </c>
      <c r="U9" s="10">
        <v>376.679749006197</v>
      </c>
      <c r="V9" s="10">
        <v>376.679749006197</v>
      </c>
      <c r="W9" s="10">
        <v>16051.9002429309</v>
      </c>
      <c r="X9" s="10">
        <v>112719.852384618</v>
      </c>
      <c r="Y9" s="10">
        <v>129149.432376555</v>
      </c>
    </row>
    <row r="10" spans="1:25" ht="14.25">
      <c r="A10" s="101"/>
      <c r="B10" s="101"/>
      <c r="C10" s="117" t="s">
        <v>361</v>
      </c>
      <c r="D10" s="113">
        <f>T10*$D$97/100-99</f>
        <v>37197.15315144427</v>
      </c>
      <c r="E10" s="113">
        <f>U10*$E$97/100+100</f>
        <v>658.8063346280575</v>
      </c>
      <c r="F10" s="112">
        <f>D10+E10</f>
        <v>37855.95948607232</v>
      </c>
      <c r="G10" s="112">
        <f>E10*$G$97/100+4</f>
        <v>83.74630103844078</v>
      </c>
      <c r="H10" s="112">
        <f>E10*$H$97/100</f>
        <v>74.69366181147248</v>
      </c>
      <c r="I10" s="112">
        <f>F10+G10+H10</f>
        <v>38014.39944892223</v>
      </c>
      <c r="J10" s="113">
        <f>W10*$J$97/100</f>
        <v>0</v>
      </c>
      <c r="K10" s="112">
        <f>Q10*$K$97/100</f>
        <v>1714.6431976618228</v>
      </c>
      <c r="L10" s="112">
        <f>Q10*$L$97/100</f>
        <v>2618.727792792602</v>
      </c>
      <c r="M10" s="112">
        <f>Q10*$M$97/100</f>
        <v>3865.741027455746</v>
      </c>
      <c r="N10" s="122">
        <v>165</v>
      </c>
      <c r="O10" s="122">
        <v>999</v>
      </c>
      <c r="P10" s="122">
        <v>2009</v>
      </c>
      <c r="Q10" s="113">
        <f>X10*$Q$97/100</f>
        <v>8719.750850830067</v>
      </c>
      <c r="R10" s="112">
        <f>SUM(I10:P10)</f>
        <v>49386.5114668324</v>
      </c>
      <c r="T10" s="10">
        <v>41437.5764851414</v>
      </c>
      <c r="U10" s="10">
        <v>627.799581676994</v>
      </c>
      <c r="V10" s="10">
        <v>42066.3760668184</v>
      </c>
      <c r="W10" s="10">
        <v>0</v>
      </c>
      <c r="X10" s="10">
        <v>13024.0996866031</v>
      </c>
      <c r="Y10" s="10">
        <v>55090.4757534215</v>
      </c>
    </row>
    <row r="11" spans="1:25" ht="14.25">
      <c r="A11" s="101"/>
      <c r="B11" s="101">
        <v>4</v>
      </c>
      <c r="C11" s="117" t="s">
        <v>362</v>
      </c>
      <c r="D11" s="113">
        <f>T11*$D$97/100</f>
        <v>602.2397611490668</v>
      </c>
      <c r="E11" s="113">
        <f>U11*$E$97/100</f>
        <v>5899.757650242016</v>
      </c>
      <c r="F11" s="112">
        <f>D11+E11</f>
        <v>6501.997411391083</v>
      </c>
      <c r="G11" s="112">
        <f>E11*$G$97/100</f>
        <v>714.1459104148794</v>
      </c>
      <c r="H11" s="112">
        <f>E11*$H$97/100</f>
        <v>668.8983993234012</v>
      </c>
      <c r="I11" s="112">
        <f>F11+G11+H11</f>
        <v>7885.041721129364</v>
      </c>
      <c r="J11" s="113">
        <f>W11*$J$97/100</f>
        <v>3057.1475100091006</v>
      </c>
      <c r="K11" s="112">
        <f>Q11*$K$97/100</f>
        <v>5084.763961672373</v>
      </c>
      <c r="L11" s="112">
        <f>Q11*$L$97/100</f>
        <v>7765.821323281442</v>
      </c>
      <c r="M11" s="112">
        <f>Q11*$M$97/100</f>
        <v>11463.831477224987</v>
      </c>
      <c r="N11" s="122">
        <v>165</v>
      </c>
      <c r="O11" s="122">
        <f>722+50</f>
        <v>772</v>
      </c>
      <c r="P11" s="122">
        <v>2009</v>
      </c>
      <c r="Q11" s="113">
        <f>X11*$Q$97/100</f>
        <v>25858.368050871566</v>
      </c>
      <c r="R11" s="112">
        <f>SUM(I11:P11)</f>
        <v>38202.605993317266</v>
      </c>
      <c r="T11" s="10">
        <v>669.113408658377</v>
      </c>
      <c r="U11" s="10">
        <v>6628.17358232505</v>
      </c>
      <c r="V11" s="10">
        <v>7297.28699098342</v>
      </c>
      <c r="W11" s="10">
        <v>709.055738207833</v>
      </c>
      <c r="X11" s="10">
        <v>38622.8883128426</v>
      </c>
      <c r="Y11" s="10">
        <v>46629.2310420339</v>
      </c>
    </row>
    <row r="12" spans="1:25" ht="14.25">
      <c r="A12" s="101"/>
      <c r="B12" s="101">
        <v>5</v>
      </c>
      <c r="C12" s="117" t="s">
        <v>363</v>
      </c>
      <c r="D12" s="113">
        <f>T12*$D$97/100</f>
        <v>290.4418706250821</v>
      </c>
      <c r="E12" s="113">
        <f>U12*$E$97/100</f>
        <v>1409.7605424476258</v>
      </c>
      <c r="F12" s="112">
        <f>D12+E12</f>
        <v>1700.202413072708</v>
      </c>
      <c r="G12" s="112">
        <f>E12*$G$97/100</f>
        <v>170.6467936037906</v>
      </c>
      <c r="H12" s="112">
        <f>E12*$H$97/100</f>
        <v>159.83479766051477</v>
      </c>
      <c r="I12" s="112">
        <f>F12+G12+H12</f>
        <v>2030.6840043370134</v>
      </c>
      <c r="J12" s="113">
        <f>W12*$J$97/100</f>
        <v>15783.38871244214</v>
      </c>
      <c r="K12" s="112">
        <f>Q12*$K$97/100</f>
        <v>7841.107239821236</v>
      </c>
      <c r="L12" s="112">
        <f>Q12*$L$97/100</f>
        <v>11975.509238999708</v>
      </c>
      <c r="M12" s="112">
        <f>Q12*$M$97/100+5000</f>
        <v>22678.132686142424</v>
      </c>
      <c r="N12" s="122">
        <v>165</v>
      </c>
      <c r="O12" s="122">
        <v>772</v>
      </c>
      <c r="P12" s="122">
        <v>2009</v>
      </c>
      <c r="Q12" s="113">
        <f>X12*$Q$97/100</f>
        <v>39875.64387688199</v>
      </c>
      <c r="R12" s="112">
        <f>SUM(I12:P12)</f>
        <v>63254.82188174252</v>
      </c>
      <c r="T12" s="10">
        <v>322.692991409714</v>
      </c>
      <c r="U12" s="10">
        <v>1583.81719026582</v>
      </c>
      <c r="V12" s="10">
        <v>1906.51018167553</v>
      </c>
      <c r="W12" s="10">
        <v>3660.70079977545</v>
      </c>
      <c r="X12" s="10">
        <v>59559.5412993431</v>
      </c>
      <c r="Y12" s="10">
        <v>65127.7522807941</v>
      </c>
    </row>
    <row r="13" spans="1:25" ht="14.25">
      <c r="A13" s="101">
        <v>2</v>
      </c>
      <c r="B13" s="101">
        <v>6</v>
      </c>
      <c r="C13" s="117" t="s">
        <v>364</v>
      </c>
      <c r="D13" s="113">
        <f>T13*$D$97/100</f>
        <v>6270.903527024364</v>
      </c>
      <c r="E13" s="113">
        <f>U13*$E$97/100</f>
        <v>0</v>
      </c>
      <c r="F13" s="112">
        <f>D13+E13</f>
        <v>6270.903527024364</v>
      </c>
      <c r="G13" s="112">
        <f>E13*$G$97/100</f>
        <v>0</v>
      </c>
      <c r="H13" s="112">
        <f>E13*$H$97/100</f>
        <v>0</v>
      </c>
      <c r="I13" s="112">
        <f>F13+G13+H13</f>
        <v>6270.903527024364</v>
      </c>
      <c r="J13" s="113">
        <f>W13*$J$97/100</f>
        <v>0</v>
      </c>
      <c r="K13" s="112">
        <f>Q13*$K$97/100</f>
        <v>5993.903825836341</v>
      </c>
      <c r="L13" s="112">
        <f>Q13*$L$97/100</f>
        <v>9154.325843095503</v>
      </c>
      <c r="M13" s="112">
        <f>Q13*$M$97/100</f>
        <v>13513.528625521933</v>
      </c>
      <c r="N13" s="122">
        <v>165</v>
      </c>
      <c r="O13" s="122">
        <f>722+6</f>
        <v>728</v>
      </c>
      <c r="P13" s="122">
        <v>2009</v>
      </c>
      <c r="Q13" s="113">
        <f>X13*$Q$97/100</f>
        <v>30481.76323587426</v>
      </c>
      <c r="R13" s="112">
        <f>SUM(I13:P13)</f>
        <v>37834.66182147814</v>
      </c>
      <c r="T13" s="10">
        <v>6967.23448868486</v>
      </c>
      <c r="U13" s="10">
        <v>0</v>
      </c>
      <c r="V13" s="10">
        <v>6967.23448868486</v>
      </c>
      <c r="W13" s="10">
        <v>0</v>
      </c>
      <c r="X13" s="10">
        <v>45528.5397253831</v>
      </c>
      <c r="Y13" s="10">
        <v>52495.7742140679</v>
      </c>
    </row>
    <row r="14" spans="1:25" ht="14.25">
      <c r="A14" s="101">
        <v>4</v>
      </c>
      <c r="B14" s="101"/>
      <c r="C14" s="101" t="s">
        <v>78</v>
      </c>
      <c r="D14" s="112">
        <f aca="true" t="shared" si="0" ref="D14:R14">SUM(D9:D13)</f>
        <v>44360.738310242785</v>
      </c>
      <c r="E14" s="112">
        <f t="shared" si="0"/>
        <v>8303.608328094535</v>
      </c>
      <c r="F14" s="112">
        <f t="shared" si="0"/>
        <v>52664.34663833731</v>
      </c>
      <c r="G14" s="112">
        <f t="shared" si="0"/>
        <v>1009.1239865678872</v>
      </c>
      <c r="H14" s="112">
        <f t="shared" si="0"/>
        <v>941.4404198523398</v>
      </c>
      <c r="I14" s="112">
        <f t="shared" si="0"/>
        <v>54614.91104475753</v>
      </c>
      <c r="J14" s="112">
        <f t="shared" si="0"/>
        <v>88049.51968350429</v>
      </c>
      <c r="K14" s="112">
        <f t="shared" si="0"/>
        <v>45474.16398734467</v>
      </c>
      <c r="L14" s="112">
        <f t="shared" si="0"/>
        <v>59178.72318067186</v>
      </c>
      <c r="M14" s="112">
        <f t="shared" si="0"/>
        <v>94978.11517146799</v>
      </c>
      <c r="N14" s="112">
        <f t="shared" si="0"/>
        <v>860</v>
      </c>
      <c r="O14" s="112">
        <f t="shared" si="0"/>
        <v>4371</v>
      </c>
      <c r="P14" s="112">
        <f t="shared" si="0"/>
        <v>10545</v>
      </c>
      <c r="Q14" s="112">
        <f t="shared" si="0"/>
        <v>180402.47209037247</v>
      </c>
      <c r="R14" s="112">
        <f t="shared" si="0"/>
        <v>358071.43306774634</v>
      </c>
      <c r="T14" s="10">
        <v>49872.1658906734</v>
      </c>
      <c r="U14" s="10">
        <v>10429.0131556332</v>
      </c>
      <c r="V14" s="10">
        <v>60301.1790463065</v>
      </c>
      <c r="W14" s="10">
        <v>26430.6037148789</v>
      </c>
      <c r="X14" s="10">
        <v>276946.100524901</v>
      </c>
      <c r="Y14" s="10">
        <v>363677.883286086</v>
      </c>
    </row>
    <row r="15" spans="1:25" ht="14.25">
      <c r="A15" s="101"/>
      <c r="B15" s="101"/>
      <c r="C15" s="101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T15" s="10"/>
      <c r="U15" s="10"/>
      <c r="V15" s="10"/>
      <c r="W15" s="10"/>
      <c r="X15" s="10"/>
      <c r="Y15" s="10"/>
    </row>
    <row r="16" spans="1:25" ht="14.25">
      <c r="A16" s="101"/>
      <c r="B16" s="101"/>
      <c r="C16" s="101" t="s">
        <v>83</v>
      </c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3"/>
      <c r="R16" s="112"/>
      <c r="T16" s="10"/>
      <c r="U16" s="10"/>
      <c r="V16" s="10"/>
      <c r="W16" s="10"/>
      <c r="X16" s="10"/>
      <c r="Y16" s="10"/>
    </row>
    <row r="17" spans="1:25" ht="14.25">
      <c r="A17" s="101"/>
      <c r="B17" s="101">
        <v>7</v>
      </c>
      <c r="C17" s="117" t="s">
        <v>365</v>
      </c>
      <c r="D17" s="113">
        <f>T17*$D$97/100</f>
        <v>135.90244264655837</v>
      </c>
      <c r="E17" s="113">
        <f>U17*$E$97/100</f>
        <v>1562.757822018991</v>
      </c>
      <c r="F17" s="112">
        <f>D17+E17</f>
        <v>1698.6602646655492</v>
      </c>
      <c r="G17" s="112">
        <f>E17*$G$97/100</f>
        <v>189.1666020413474</v>
      </c>
      <c r="H17" s="112">
        <f>E17*$H$97/100</f>
        <v>177.18121110207758</v>
      </c>
      <c r="I17" s="112">
        <f>F17+G17+H17</f>
        <v>2065.008077808974</v>
      </c>
      <c r="J17" s="113">
        <f>W17*$J$97/100</f>
        <v>1045.7665529212716</v>
      </c>
      <c r="K17" s="112">
        <f>Q17*$K$97/100</f>
        <v>499.5371976489997</v>
      </c>
      <c r="L17" s="112">
        <f>Q17*$L$97/100</f>
        <v>762.9295382275632</v>
      </c>
      <c r="M17" s="112">
        <f>Q17*$M$97/100</f>
        <v>1126.2293183359266</v>
      </c>
      <c r="N17" s="122">
        <v>200</v>
      </c>
      <c r="O17" s="122">
        <v>1100</v>
      </c>
      <c r="P17" s="122">
        <v>2509</v>
      </c>
      <c r="Q17" s="113">
        <f>X17*$Q$97/100</f>
        <v>2540.3768610058255</v>
      </c>
      <c r="R17" s="112">
        <f>SUM(I17:P17)</f>
        <v>9308.470684942735</v>
      </c>
      <c r="T17" s="10">
        <v>150.993263</v>
      </c>
      <c r="U17" s="10">
        <v>1755.70434</v>
      </c>
      <c r="V17" s="10">
        <v>1906.697603</v>
      </c>
      <c r="W17" s="10">
        <v>242.548576</v>
      </c>
      <c r="X17" s="10">
        <v>3794.3884</v>
      </c>
      <c r="Y17" s="10">
        <v>5943.634579</v>
      </c>
    </row>
    <row r="18" spans="1:25" ht="14.25">
      <c r="A18" s="101"/>
      <c r="B18" s="101"/>
      <c r="C18" s="117" t="s">
        <v>366</v>
      </c>
      <c r="D18" s="113">
        <f>T18*$D$97/100</f>
        <v>40230.470285553674</v>
      </c>
      <c r="E18" s="113">
        <f>U18*$E$97/100</f>
        <v>27832.476912439488</v>
      </c>
      <c r="F18" s="112">
        <f>D18+E18</f>
        <v>68062.94719799317</v>
      </c>
      <c r="G18" s="112">
        <f>E18*$G$97/100</f>
        <v>3369.028143540752</v>
      </c>
      <c r="H18" s="112">
        <f>E18*$H$97/100</f>
        <v>3155.5701707802514</v>
      </c>
      <c r="I18" s="112">
        <f>F18+G18+H18</f>
        <v>74587.54551231417</v>
      </c>
      <c r="J18" s="113">
        <f>W18*$J$97/100</f>
        <v>127709.31462715958</v>
      </c>
      <c r="K18" s="112">
        <f>Q18*$K$97/100+9500</f>
        <v>43613.433541934</v>
      </c>
      <c r="L18" s="112">
        <f>Q18*$L$97/100</f>
        <v>52100.516682226465</v>
      </c>
      <c r="M18" s="112">
        <f>Q18*$M$97/100</f>
        <v>76910.28653090574</v>
      </c>
      <c r="N18" s="122">
        <v>165</v>
      </c>
      <c r="O18" s="122">
        <v>999</v>
      </c>
      <c r="P18" s="122">
        <v>2009</v>
      </c>
      <c r="Q18" s="113">
        <f>X18*$Q$97/100</f>
        <v>173482.53068489514</v>
      </c>
      <c r="R18" s="112">
        <f>SUM(I18:P18)</f>
        <v>378094.09689453995</v>
      </c>
      <c r="T18" s="10">
        <v>44697.7247954132</v>
      </c>
      <c r="U18" s="10">
        <v>31268.8247786137</v>
      </c>
      <c r="V18" s="10">
        <v>75966.5495740269</v>
      </c>
      <c r="W18" s="10">
        <v>29620.1024198232</v>
      </c>
      <c r="X18" s="10">
        <v>259119.074865444</v>
      </c>
      <c r="Y18" s="10">
        <v>364705.726859294</v>
      </c>
    </row>
    <row r="19" spans="1:25" ht="14.25">
      <c r="A19" s="101"/>
      <c r="B19" s="101">
        <v>8</v>
      </c>
      <c r="C19" s="117" t="s">
        <v>367</v>
      </c>
      <c r="D19" s="113">
        <f>T19*$D$97/100</f>
        <v>37296.15315144427</v>
      </c>
      <c r="E19" s="113">
        <f>U19*$E$97/100</f>
        <v>26324.68017093441</v>
      </c>
      <c r="F19" s="112">
        <f>D19+E19</f>
        <v>63620.833322378676</v>
      </c>
      <c r="G19" s="112">
        <f>E19*$G$97/100</f>
        <v>3186.5143962788525</v>
      </c>
      <c r="H19" s="112">
        <f>E19*$H$97/100</f>
        <v>2984.6202967873064</v>
      </c>
      <c r="I19" s="112">
        <f>F19+G19+H19</f>
        <v>69791.96801544484</v>
      </c>
      <c r="J19" s="113">
        <f>W19*$J$97/100</f>
        <v>97126.32484718191</v>
      </c>
      <c r="K19" s="112">
        <f>Q19*$K$97/100</f>
        <v>22378.143257891832</v>
      </c>
      <c r="L19" s="112">
        <f>Q19*$L$97/100+5000</f>
        <v>39177.527884780255</v>
      </c>
      <c r="M19" s="112">
        <f>Q19*$M$97/100</f>
        <v>50452.54116324704</v>
      </c>
      <c r="N19" s="122">
        <v>165</v>
      </c>
      <c r="O19" s="122">
        <f>999-85</f>
        <v>914</v>
      </c>
      <c r="P19" s="122">
        <v>2009</v>
      </c>
      <c r="Q19" s="113">
        <f>X19*$Q$97/100</f>
        <v>113803.1713997941</v>
      </c>
      <c r="R19" s="112">
        <f>SUM(I19:P19)</f>
        <v>282014.5051685459</v>
      </c>
      <c r="T19" s="10">
        <v>41437.5764851414</v>
      </c>
      <c r="U19" s="10">
        <v>29574.8673108608</v>
      </c>
      <c r="V19" s="10">
        <v>71013.4437960022</v>
      </c>
      <c r="W19" s="10">
        <v>22526.8743946632</v>
      </c>
      <c r="X19" s="10">
        <v>169980.068733432</v>
      </c>
      <c r="Y19" s="10">
        <v>263520.386924097</v>
      </c>
    </row>
    <row r="20" spans="1:25" ht="14.25">
      <c r="A20" s="101"/>
      <c r="B20" s="101">
        <v>9</v>
      </c>
      <c r="C20" s="117" t="s">
        <v>368</v>
      </c>
      <c r="D20" s="113">
        <f>T20*$D$97/100</f>
        <v>2780.553790837181</v>
      </c>
      <c r="E20" s="113">
        <f>U20*$E$97/100</f>
        <v>28955.971753639125</v>
      </c>
      <c r="F20" s="112">
        <f>D20+E20</f>
        <v>31736.525544476306</v>
      </c>
      <c r="G20" s="112">
        <f>E20*$G$97/100</f>
        <v>3505.0234324628354</v>
      </c>
      <c r="H20" s="112">
        <f>E20*$H$97/100</f>
        <v>3282.948945550044</v>
      </c>
      <c r="I20" s="112">
        <f>F20+G20+H20</f>
        <v>38524.49792248919</v>
      </c>
      <c r="J20" s="113">
        <f>W20*$J$97/100</f>
        <v>8019.974541323306</v>
      </c>
      <c r="K20" s="112">
        <f>Q20*$K$97/100</f>
        <v>36685.39833842677</v>
      </c>
      <c r="L20" s="112">
        <f>Q20*$L$97/100</f>
        <v>56028.60837141543</v>
      </c>
      <c r="M20" s="112">
        <f>Q20*$M$97/100</f>
        <v>82708.89807208945</v>
      </c>
      <c r="N20" s="122">
        <v>165</v>
      </c>
      <c r="O20" s="122">
        <f>999-85</f>
        <v>914</v>
      </c>
      <c r="P20" s="122">
        <v>2009</v>
      </c>
      <c r="Q20" s="113">
        <f>X20*$Q$97/100</f>
        <v>186562.15696114046</v>
      </c>
      <c r="R20" s="112">
        <f>SUM(I20:P20)</f>
        <v>225055.37724574414</v>
      </c>
      <c r="T20" s="10">
        <v>3089.31084423123</v>
      </c>
      <c r="U20" s="10">
        <v>32531.032358617</v>
      </c>
      <c r="V20" s="10">
        <v>35620.3432028482</v>
      </c>
      <c r="W20" s="10">
        <v>1860.10290644729</v>
      </c>
      <c r="X20" s="10">
        <v>278655.224395349</v>
      </c>
      <c r="Y20" s="10">
        <v>316134.670504645</v>
      </c>
    </row>
    <row r="21" spans="1:25" ht="14.25">
      <c r="A21" s="101">
        <v>3</v>
      </c>
      <c r="B21" s="101"/>
      <c r="C21" s="101" t="s">
        <v>78</v>
      </c>
      <c r="D21" s="112">
        <f aca="true" t="shared" si="1" ref="D21:R21">SUM(D17:D20)</f>
        <v>80443.07967048167</v>
      </c>
      <c r="E21" s="112">
        <f t="shared" si="1"/>
        <v>84675.88665903201</v>
      </c>
      <c r="F21" s="112">
        <f t="shared" si="1"/>
        <v>165118.96632951373</v>
      </c>
      <c r="G21" s="112">
        <f t="shared" si="1"/>
        <v>10249.732574323785</v>
      </c>
      <c r="H21" s="112">
        <f t="shared" si="1"/>
        <v>9600.32062421968</v>
      </c>
      <c r="I21" s="112">
        <f t="shared" si="1"/>
        <v>184969.01952805716</v>
      </c>
      <c r="J21" s="112">
        <f t="shared" si="1"/>
        <v>233901.38056858606</v>
      </c>
      <c r="K21" s="112">
        <f t="shared" si="1"/>
        <v>103176.5123359016</v>
      </c>
      <c r="L21" s="112">
        <f t="shared" si="1"/>
        <v>148069.58247664972</v>
      </c>
      <c r="M21" s="112">
        <f t="shared" si="1"/>
        <v>211197.95508457813</v>
      </c>
      <c r="N21" s="112">
        <f t="shared" si="1"/>
        <v>695</v>
      </c>
      <c r="O21" s="112">
        <f t="shared" si="1"/>
        <v>3927</v>
      </c>
      <c r="P21" s="112">
        <f t="shared" si="1"/>
        <v>8536</v>
      </c>
      <c r="Q21" s="112">
        <f t="shared" si="1"/>
        <v>476388.2359068355</v>
      </c>
      <c r="R21" s="112">
        <f t="shared" si="1"/>
        <v>894472.4499937728</v>
      </c>
      <c r="T21" s="10">
        <v>89375.6053877858</v>
      </c>
      <c r="U21" s="10">
        <v>95131.4287880915</v>
      </c>
      <c r="V21" s="10">
        <v>184507.034175877</v>
      </c>
      <c r="W21" s="10">
        <v>54249.6282969337</v>
      </c>
      <c r="X21" s="10">
        <v>711547.756394226</v>
      </c>
      <c r="Y21" s="10">
        <v>950305.418867036</v>
      </c>
    </row>
    <row r="22" spans="1:25" ht="14.25">
      <c r="A22" s="101"/>
      <c r="B22" s="101"/>
      <c r="C22" s="101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T22" s="10"/>
      <c r="U22" s="10"/>
      <c r="V22" s="10"/>
      <c r="W22" s="10"/>
      <c r="X22" s="10"/>
      <c r="Y22" s="10"/>
    </row>
    <row r="23" spans="1:25" s="58" customFormat="1" ht="14.25">
      <c r="A23" s="101"/>
      <c r="B23" s="101">
        <v>3</v>
      </c>
      <c r="C23" s="117" t="s">
        <v>369</v>
      </c>
      <c r="D23" s="113">
        <f>T23*$D$97/100</f>
        <v>427.12039797806176</v>
      </c>
      <c r="E23" s="113">
        <f>U23*$E$97/100</f>
        <v>1078.3981896330924</v>
      </c>
      <c r="F23" s="112">
        <f>D23+E23</f>
        <v>1505.518587611154</v>
      </c>
      <c r="G23" s="112">
        <f>E23*$G$97/100</f>
        <v>130.536490239339</v>
      </c>
      <c r="H23" s="112">
        <f>E23*$H$97/100</f>
        <v>122.26583965686099</v>
      </c>
      <c r="I23" s="112">
        <f>F23+G23+H23</f>
        <v>1758.3209175073541</v>
      </c>
      <c r="J23" s="113">
        <f>W23*$J$97/100</f>
        <v>14393.349858799893</v>
      </c>
      <c r="K23" s="112">
        <f>Q23*$K$97/100</f>
        <v>986.0938552182364</v>
      </c>
      <c r="L23" s="112">
        <f>Q23*$L$97/100+500</f>
        <v>2006.0342516060336</v>
      </c>
      <c r="M23" s="112">
        <f>Q23*$M$97/100</f>
        <v>2223.1934190374786</v>
      </c>
      <c r="N23" s="122">
        <v>165</v>
      </c>
      <c r="O23" s="122">
        <f>999-85</f>
        <v>914</v>
      </c>
      <c r="P23" s="122">
        <v>2009</v>
      </c>
      <c r="Q23" s="113">
        <f>X23*$Q$97/100</f>
        <v>5014.741693643828</v>
      </c>
      <c r="R23" s="112">
        <f>SUM(I23:P23)</f>
        <v>24454.992302168994</v>
      </c>
      <c r="T23" s="57">
        <v>474.548516778991</v>
      </c>
      <c r="U23" s="57">
        <v>1211.54305235911</v>
      </c>
      <c r="V23" s="57">
        <v>1687.0915691381</v>
      </c>
      <c r="W23" s="57">
        <v>3338.3038522026</v>
      </c>
      <c r="X23" s="57">
        <v>7490.17911611141</v>
      </c>
      <c r="Y23" s="57">
        <v>12514.5745374521</v>
      </c>
    </row>
    <row r="24" spans="1:25" ht="14.25">
      <c r="A24" s="101"/>
      <c r="B24" s="101"/>
      <c r="C24" s="101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T24" s="10"/>
      <c r="U24" s="10"/>
      <c r="V24" s="10"/>
      <c r="W24" s="10"/>
      <c r="X24" s="10"/>
      <c r="Y24" s="10"/>
    </row>
    <row r="25" spans="1:25" ht="14.25">
      <c r="A25" s="101"/>
      <c r="B25" s="101"/>
      <c r="C25" s="101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T25" s="10"/>
      <c r="U25" s="10"/>
      <c r="V25" s="10"/>
      <c r="W25" s="10"/>
      <c r="X25" s="10"/>
      <c r="Y25" s="10"/>
    </row>
    <row r="26" spans="1:25" ht="14.25">
      <c r="A26" s="101"/>
      <c r="B26" s="101"/>
      <c r="C26" s="117" t="s">
        <v>96</v>
      </c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3"/>
      <c r="R26" s="112"/>
      <c r="T26" s="10"/>
      <c r="U26" s="10"/>
      <c r="V26" s="10"/>
      <c r="W26" s="10"/>
      <c r="X26" s="10"/>
      <c r="Y26" s="10"/>
    </row>
    <row r="27" spans="1:25" ht="14.25">
      <c r="A27" s="101"/>
      <c r="B27" s="101">
        <v>10</v>
      </c>
      <c r="C27" s="117" t="s">
        <v>370</v>
      </c>
      <c r="D27" s="113">
        <f>T27*$D$97/100</f>
        <v>40004.09647462527</v>
      </c>
      <c r="E27" s="113">
        <f>U27*$E$97/100</f>
        <v>3023.4363789349645</v>
      </c>
      <c r="F27" s="112">
        <f>D27+E27</f>
        <v>43027.53285356024</v>
      </c>
      <c r="G27" s="112">
        <f>E27*$G$97/100</f>
        <v>365.9768508164745</v>
      </c>
      <c r="H27" s="112">
        <f>E27*$H$97/100</f>
        <v>342.7889540925088</v>
      </c>
      <c r="I27" s="112">
        <f>F27+G27+H27</f>
        <v>43736.298658469226</v>
      </c>
      <c r="J27" s="113">
        <f>W27*$J$97/100</f>
        <v>11543.466586757535</v>
      </c>
      <c r="K27" s="112">
        <f>Q27*$K$97/100</f>
        <v>21875.42874346685</v>
      </c>
      <c r="L27" s="112">
        <f>Q27*$L$97/100+2000</f>
        <v>35409.74571729483</v>
      </c>
      <c r="M27" s="112">
        <f>Q27*$M$97/100+2000</f>
        <v>51319.14843981618</v>
      </c>
      <c r="N27" s="122">
        <v>200</v>
      </c>
      <c r="O27" s="122">
        <v>1100</v>
      </c>
      <c r="P27" s="122">
        <v>2509</v>
      </c>
      <c r="Q27" s="113">
        <f>X27*$Q$97/100</f>
        <v>111246.63641872078</v>
      </c>
      <c r="R27" s="112">
        <f>SUM(I27:P27)</f>
        <v>167693.08814580462</v>
      </c>
      <c r="T27" s="10">
        <v>44446.2140815203</v>
      </c>
      <c r="U27" s="10">
        <v>3396.726157705</v>
      </c>
      <c r="V27" s="10">
        <v>47842.9402392252</v>
      </c>
      <c r="W27" s="10">
        <v>2677.31968946649</v>
      </c>
      <c r="X27" s="10">
        <v>166161.546046787</v>
      </c>
      <c r="Y27" s="10">
        <v>216681.805975478</v>
      </c>
    </row>
    <row r="28" spans="1:25" ht="14.25">
      <c r="A28" s="101"/>
      <c r="B28" s="101">
        <v>11</v>
      </c>
      <c r="C28" s="117" t="s">
        <v>371</v>
      </c>
      <c r="D28" s="113">
        <f>T28*$D$97/100</f>
        <v>60001.87350795807</v>
      </c>
      <c r="E28" s="113">
        <f>U28*$E$97/100</f>
        <v>34906.7690364327</v>
      </c>
      <c r="F28" s="112">
        <f>D28+E28</f>
        <v>94908.64254439078</v>
      </c>
      <c r="G28" s="112">
        <f>E28*$G$97/100</f>
        <v>4225.34751951083</v>
      </c>
      <c r="H28" s="112">
        <f>E28*$H$97/100</f>
        <v>3957.6340789292735</v>
      </c>
      <c r="I28" s="112">
        <f>F28+G28+H28</f>
        <v>103091.62414283089</v>
      </c>
      <c r="J28" s="113">
        <f>W28*$J$97/100</f>
        <v>109.38945892687936</v>
      </c>
      <c r="K28" s="112">
        <f>Q28*$K$97/100</f>
        <v>24949.72135091192</v>
      </c>
      <c r="L28" s="112">
        <f>Q28*$L$97/100</f>
        <v>38105.02897230184</v>
      </c>
      <c r="M28" s="112">
        <f>Q28*$M$97/100</f>
        <v>56250.280863874155</v>
      </c>
      <c r="N28" s="122">
        <v>165</v>
      </c>
      <c r="O28" s="122">
        <v>999</v>
      </c>
      <c r="P28" s="122">
        <v>2009</v>
      </c>
      <c r="Q28" s="113">
        <f>X28*$Q$97/100</f>
        <v>126880.83111066908</v>
      </c>
      <c r="R28" s="112">
        <f>SUM(I28:P28)</f>
        <v>225679.0447888457</v>
      </c>
      <c r="T28" s="10">
        <v>66664.5756371126</v>
      </c>
      <c r="U28" s="10">
        <v>39216.5472020896</v>
      </c>
      <c r="V28" s="10">
        <v>105882.122839202</v>
      </c>
      <c r="W28" s="10">
        <v>25.3711092767398</v>
      </c>
      <c r="X28" s="10">
        <v>189513.280938193</v>
      </c>
      <c r="Y28" s="10">
        <v>295419.774886672</v>
      </c>
    </row>
    <row r="29" spans="1:25" ht="14.25">
      <c r="A29" s="101">
        <v>2</v>
      </c>
      <c r="B29" s="101"/>
      <c r="C29" s="101" t="s">
        <v>78</v>
      </c>
      <c r="D29" s="112">
        <f aca="true" t="shared" si="2" ref="D29:R29">SUM(D27:D28)</f>
        <v>100005.96998258334</v>
      </c>
      <c r="E29" s="112">
        <f t="shared" si="2"/>
        <v>37930.205415367665</v>
      </c>
      <c r="F29" s="112">
        <f t="shared" si="2"/>
        <v>137936.175397951</v>
      </c>
      <c r="G29" s="112">
        <f t="shared" si="2"/>
        <v>4591.324370327305</v>
      </c>
      <c r="H29" s="112">
        <f t="shared" si="2"/>
        <v>4300.423033021782</v>
      </c>
      <c r="I29" s="112">
        <f t="shared" si="2"/>
        <v>146827.92280130013</v>
      </c>
      <c r="J29" s="112">
        <f t="shared" si="2"/>
        <v>11652.856045684415</v>
      </c>
      <c r="K29" s="112">
        <f t="shared" si="2"/>
        <v>46825.15009437877</v>
      </c>
      <c r="L29" s="112">
        <f t="shared" si="2"/>
        <v>73514.77468959667</v>
      </c>
      <c r="M29" s="112">
        <f t="shared" si="2"/>
        <v>107569.42930369033</v>
      </c>
      <c r="N29" s="112">
        <f t="shared" si="2"/>
        <v>365</v>
      </c>
      <c r="O29" s="112">
        <f t="shared" si="2"/>
        <v>2099</v>
      </c>
      <c r="P29" s="112">
        <f t="shared" si="2"/>
        <v>4518</v>
      </c>
      <c r="Q29" s="112">
        <f t="shared" si="2"/>
        <v>238127.46752938986</v>
      </c>
      <c r="R29" s="112">
        <f t="shared" si="2"/>
        <v>393372.1329346503</v>
      </c>
      <c r="T29" s="10">
        <v>111110.789718633</v>
      </c>
      <c r="U29" s="10">
        <v>42614.2733597946</v>
      </c>
      <c r="V29" s="10">
        <v>153725.063078427</v>
      </c>
      <c r="W29" s="10">
        <v>2701.69079874323</v>
      </c>
      <c r="X29" s="10">
        <v>355674.82698498</v>
      </c>
      <c r="Y29" s="10">
        <v>512101.58086215</v>
      </c>
    </row>
    <row r="30" spans="1:25" ht="14.25">
      <c r="A30" s="101"/>
      <c r="B30" s="101"/>
      <c r="C30" s="101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T30" s="10"/>
      <c r="U30" s="10"/>
      <c r="V30" s="10"/>
      <c r="W30" s="10"/>
      <c r="X30" s="10"/>
      <c r="Y30" s="10"/>
    </row>
    <row r="31" spans="1:25" ht="14.25">
      <c r="A31" s="101"/>
      <c r="B31" s="101"/>
      <c r="C31" s="101" t="s">
        <v>104</v>
      </c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3"/>
      <c r="R31" s="112"/>
      <c r="T31" s="10"/>
      <c r="U31" s="10"/>
      <c r="V31" s="10"/>
      <c r="W31" s="10"/>
      <c r="X31" s="10"/>
      <c r="Y31" s="10"/>
    </row>
    <row r="32" spans="1:25" ht="14.25">
      <c r="A32" s="101"/>
      <c r="B32" s="101">
        <v>12</v>
      </c>
      <c r="C32" s="117" t="s">
        <v>372</v>
      </c>
      <c r="D32" s="113">
        <f>T32*$D$97/100</f>
        <v>0</v>
      </c>
      <c r="E32" s="113">
        <f>U32*$E$97/100</f>
        <v>6310.785442333936</v>
      </c>
      <c r="F32" s="112">
        <f>D32+E32</f>
        <v>6310.785442333936</v>
      </c>
      <c r="G32" s="112">
        <f>E32*$G$97/100</f>
        <v>763.8994484737284</v>
      </c>
      <c r="H32" s="112">
        <f>E32*$H$97/100</f>
        <v>715.499607119867</v>
      </c>
      <c r="I32" s="112">
        <f>F32+G32+H32</f>
        <v>7790.184497927532</v>
      </c>
      <c r="J32" s="113">
        <f>W32*$J$97/100</f>
        <v>915.417051019676</v>
      </c>
      <c r="K32" s="112">
        <f>Q32*$K$97/100</f>
        <v>1013.721916348426</v>
      </c>
      <c r="L32" s="112">
        <f>Q32*$L$97/100</f>
        <v>1548.229835877596</v>
      </c>
      <c r="M32" s="112">
        <f>Q32*$M$97/100+1000</f>
        <v>3285.482138676451</v>
      </c>
      <c r="N32" s="122">
        <f>165-13</f>
        <v>152</v>
      </c>
      <c r="O32" s="122">
        <v>999</v>
      </c>
      <c r="P32" s="122">
        <v>2009</v>
      </c>
      <c r="Q32" s="113">
        <f>X32*$Q$97/100</f>
        <v>5155.243116840953</v>
      </c>
      <c r="R32" s="112">
        <f>SUM(I32:P32)</f>
        <v>17713.03543984968</v>
      </c>
      <c r="T32" s="10">
        <v>0</v>
      </c>
      <c r="U32" s="10">
        <v>7089.94908475324</v>
      </c>
      <c r="V32" s="10">
        <v>7089.94908475324</v>
      </c>
      <c r="W32" s="10">
        <v>212.316125000086</v>
      </c>
      <c r="X32" s="10">
        <v>7700.03655047317</v>
      </c>
      <c r="Y32" s="10">
        <v>15002.3017602265</v>
      </c>
    </row>
    <row r="33" spans="1:25" ht="14.25">
      <c r="A33" s="101"/>
      <c r="B33" s="101">
        <v>13</v>
      </c>
      <c r="C33" s="101" t="s">
        <v>43</v>
      </c>
      <c r="D33" s="113">
        <f>T33*$D$97/100</f>
        <v>0</v>
      </c>
      <c r="E33" s="113">
        <f>U33*$E$97/100</f>
        <v>803.7630716816186</v>
      </c>
      <c r="F33" s="112">
        <f>D33+E33</f>
        <v>803.7630716816186</v>
      </c>
      <c r="G33" s="112">
        <f>E33*$G$97/100</f>
        <v>97.29282872498722</v>
      </c>
      <c r="H33" s="112">
        <f>E33*$H$97/100</f>
        <v>91.12846051583836</v>
      </c>
      <c r="I33" s="112">
        <f>F33+G33+H33</f>
        <v>992.1843609224442</v>
      </c>
      <c r="J33" s="113">
        <f>W33*$J$97/100</f>
        <v>0</v>
      </c>
      <c r="K33" s="112">
        <f>Q33*$K$97/100</f>
        <v>50.685855221058794</v>
      </c>
      <c r="L33" s="112">
        <f>Q33*$L$97/100+500</f>
        <v>577.411124337617</v>
      </c>
      <c r="M33" s="112">
        <f>Q33*$M$97/100</f>
        <v>114.27356449838709</v>
      </c>
      <c r="N33" s="122">
        <v>165</v>
      </c>
      <c r="O33" s="122">
        <v>999</v>
      </c>
      <c r="P33" s="122">
        <v>2009</v>
      </c>
      <c r="Q33" s="113">
        <f>X33*$Q$97/100</f>
        <v>257.7609322986658</v>
      </c>
      <c r="R33" s="112">
        <f>SUM(I33:P33)</f>
        <v>4907.554904979507</v>
      </c>
      <c r="T33" s="10">
        <v>0</v>
      </c>
      <c r="U33" s="10">
        <v>903</v>
      </c>
      <c r="V33" s="10">
        <v>903</v>
      </c>
      <c r="W33" s="10">
        <v>0</v>
      </c>
      <c r="X33" s="10">
        <v>385</v>
      </c>
      <c r="Y33" s="10">
        <v>1288</v>
      </c>
    </row>
    <row r="34" spans="1:25" ht="14.25">
      <c r="A34" s="101">
        <v>2</v>
      </c>
      <c r="B34" s="101"/>
      <c r="C34" s="101" t="s">
        <v>78</v>
      </c>
      <c r="D34" s="112">
        <f aca="true" t="shared" si="3" ref="D34:J34">SUM(D32:D33)</f>
        <v>0</v>
      </c>
      <c r="E34" s="112">
        <f t="shared" si="3"/>
        <v>7114.548514015554</v>
      </c>
      <c r="F34" s="112">
        <f t="shared" si="3"/>
        <v>7114.548514015554</v>
      </c>
      <c r="G34" s="112">
        <f t="shared" si="3"/>
        <v>861.1922771987156</v>
      </c>
      <c r="H34" s="112">
        <f t="shared" si="3"/>
        <v>806.6280676357054</v>
      </c>
      <c r="I34" s="112">
        <f t="shared" si="3"/>
        <v>8782.368858849975</v>
      </c>
      <c r="J34" s="112">
        <f t="shared" si="3"/>
        <v>915.417051019676</v>
      </c>
      <c r="K34" s="112">
        <v>1065</v>
      </c>
      <c r="L34" s="112">
        <f aca="true" t="shared" si="4" ref="L34:R34">SUM(L32:L33)</f>
        <v>2125.640960215213</v>
      </c>
      <c r="M34" s="112">
        <f t="shared" si="4"/>
        <v>3399.7557031748383</v>
      </c>
      <c r="N34" s="112">
        <f t="shared" si="4"/>
        <v>317</v>
      </c>
      <c r="O34" s="112">
        <f t="shared" si="4"/>
        <v>1998</v>
      </c>
      <c r="P34" s="112">
        <f t="shared" si="4"/>
        <v>4018</v>
      </c>
      <c r="Q34" s="112">
        <f t="shared" si="4"/>
        <v>5413.0040491396185</v>
      </c>
      <c r="R34" s="112">
        <f t="shared" si="4"/>
        <v>22620.590344829187</v>
      </c>
      <c r="T34" s="10">
        <v>0</v>
      </c>
      <c r="U34" s="10">
        <v>7992.94908475324</v>
      </c>
      <c r="V34" s="10">
        <v>7992.94908475324</v>
      </c>
      <c r="W34" s="10">
        <v>212.316125000086</v>
      </c>
      <c r="X34" s="10">
        <v>8085.03655047316</v>
      </c>
      <c r="Y34" s="10">
        <v>16290.3017602265</v>
      </c>
    </row>
    <row r="35" spans="1:25" ht="14.25">
      <c r="A35" s="101"/>
      <c r="B35" s="101"/>
      <c r="C35" s="101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T35" s="10"/>
      <c r="U35" s="10"/>
      <c r="V35" s="10"/>
      <c r="W35" s="10"/>
      <c r="X35" s="10"/>
      <c r="Y35" s="10"/>
    </row>
    <row r="36" spans="1:25" ht="14.25">
      <c r="A36" s="101"/>
      <c r="B36" s="101"/>
      <c r="C36" s="101" t="s">
        <v>108</v>
      </c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T36" s="10"/>
      <c r="U36" s="10"/>
      <c r="V36" s="10"/>
      <c r="W36" s="10"/>
      <c r="X36" s="10"/>
      <c r="Y36" s="10"/>
    </row>
    <row r="37" spans="1:25" ht="14.25">
      <c r="A37" s="101">
        <v>1</v>
      </c>
      <c r="B37" s="101">
        <v>14</v>
      </c>
      <c r="C37" s="117" t="s">
        <v>373</v>
      </c>
      <c r="D37" s="113">
        <f>T37*$D$97/100</f>
        <v>9067.76604907427</v>
      </c>
      <c r="E37" s="113">
        <f>U37*$E$97/100</f>
        <v>8819.861977122335</v>
      </c>
      <c r="F37" s="112">
        <f>D37+E37</f>
        <v>17887.628026196602</v>
      </c>
      <c r="G37" s="112">
        <f>E37*$G$97/100</f>
        <v>1067.6147622991307</v>
      </c>
      <c r="H37" s="112">
        <f>E37*$H$97/100</f>
        <v>999.9718477433474</v>
      </c>
      <c r="I37" s="112">
        <f>F37+G37+H37</f>
        <v>19955.21463623908</v>
      </c>
      <c r="J37" s="113">
        <f>W37*$J$97/100</f>
        <v>13985.107229988904</v>
      </c>
      <c r="K37" s="112">
        <f>Q37*$K$97/100</f>
        <v>0</v>
      </c>
      <c r="L37" s="112">
        <f>Q37*$L$97/100</f>
        <v>0</v>
      </c>
      <c r="M37" s="112">
        <f>Q37*$M$97/100</f>
        <v>0</v>
      </c>
      <c r="N37" s="122">
        <v>165</v>
      </c>
      <c r="O37" s="122">
        <v>999</v>
      </c>
      <c r="P37" s="122">
        <v>2009</v>
      </c>
      <c r="Q37" s="113">
        <f>AD37*$J$97/100</f>
        <v>0</v>
      </c>
      <c r="R37" s="112">
        <f>SUM(I37:P37)</f>
        <v>37113.32186622798</v>
      </c>
      <c r="T37" s="10">
        <v>10074.665011218</v>
      </c>
      <c r="U37" s="10">
        <v>9908.80975494262</v>
      </c>
      <c r="V37" s="10">
        <v>19984.4747661606</v>
      </c>
      <c r="W37" s="10">
        <v>3243.61860146093</v>
      </c>
      <c r="X37" s="10">
        <v>149999.919203527</v>
      </c>
      <c r="Y37" s="10">
        <v>173228.012571148</v>
      </c>
    </row>
    <row r="38" spans="1:25" ht="14.25">
      <c r="A38" s="101"/>
      <c r="B38" s="101"/>
      <c r="C38" s="101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3"/>
      <c r="R38" s="112"/>
      <c r="T38" s="10"/>
      <c r="U38" s="10"/>
      <c r="V38" s="10"/>
      <c r="W38" s="10"/>
      <c r="X38" s="10"/>
      <c r="Y38" s="10"/>
    </row>
    <row r="39" spans="1:25" ht="14.25">
      <c r="A39" s="101"/>
      <c r="B39" s="101"/>
      <c r="C39" s="101" t="s">
        <v>121</v>
      </c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T39" s="10"/>
      <c r="U39" s="10"/>
      <c r="V39" s="10"/>
      <c r="W39" s="10"/>
      <c r="X39" s="10"/>
      <c r="Y39" s="10"/>
    </row>
    <row r="40" spans="1:25" ht="14.25">
      <c r="A40" s="101"/>
      <c r="B40" s="101">
        <v>15</v>
      </c>
      <c r="C40" s="101" t="s">
        <v>43</v>
      </c>
      <c r="D40" s="113">
        <f>T40*$D$97/100</f>
        <v>18649.4356001486</v>
      </c>
      <c r="E40" s="113">
        <f>U40*$E$97/100</f>
        <v>26702.73115517748</v>
      </c>
      <c r="F40" s="112">
        <f>D40+E40</f>
        <v>45352.16675532608</v>
      </c>
      <c r="G40" s="112">
        <f>E40*$G$97/100</f>
        <v>3232.2762021581893</v>
      </c>
      <c r="H40" s="112">
        <f>E40*$H$97/100</f>
        <v>3027.4826842300267</v>
      </c>
      <c r="I40" s="112">
        <f>F40+G40+H40</f>
        <v>51611.92564171429</v>
      </c>
      <c r="J40" s="113">
        <f>W40*$J$97/100</f>
        <v>4968.584371257733</v>
      </c>
      <c r="K40" s="112">
        <f>Q40*$K$97/100</f>
        <v>18431.21871929826</v>
      </c>
      <c r="L40" s="112">
        <f>Q40*$L$97/100+2000</f>
        <v>30149.497680382792</v>
      </c>
      <c r="M40" s="112">
        <f>Q40*$M$97/100+5000</f>
        <v>46554.020385326985</v>
      </c>
      <c r="N40" s="122">
        <v>165</v>
      </c>
      <c r="O40" s="122">
        <v>999</v>
      </c>
      <c r="P40" s="122">
        <v>2009</v>
      </c>
      <c r="Q40" s="113">
        <f>X40*$Q$97/100</f>
        <v>93731.24118685235</v>
      </c>
      <c r="R40" s="112">
        <f>SUM(I40:P40)</f>
        <v>154888.24679798004</v>
      </c>
      <c r="T40" s="10">
        <v>20720.2981752007</v>
      </c>
      <c r="U40" s="10">
        <v>29999.5945107025</v>
      </c>
      <c r="V40" s="10">
        <v>50719.8926859033</v>
      </c>
      <c r="W40" s="10">
        <v>1152.38248978034</v>
      </c>
      <c r="X40" s="10">
        <v>139999.989661447</v>
      </c>
      <c r="Y40" s="10">
        <v>191872.264837131</v>
      </c>
    </row>
    <row r="41" spans="1:25" ht="14.25">
      <c r="A41" s="101">
        <v>2</v>
      </c>
      <c r="B41" s="101">
        <v>16</v>
      </c>
      <c r="C41" s="101" t="s">
        <v>374</v>
      </c>
      <c r="D41" s="113">
        <f>T41*$D$97/100</f>
        <v>0</v>
      </c>
      <c r="E41" s="113">
        <f>U41*$E$97/100</f>
        <v>1141.1121349898506</v>
      </c>
      <c r="F41" s="112">
        <f>D41+E41</f>
        <v>1141.1121349898506</v>
      </c>
      <c r="G41" s="112">
        <f>E41*$G$97/100</f>
        <v>138.1278033504248</v>
      </c>
      <c r="H41" s="112">
        <f>E41*$H$97/100</f>
        <v>129.37617539457895</v>
      </c>
      <c r="I41" s="112">
        <f>F41+G41+H41</f>
        <v>1408.6161137348543</v>
      </c>
      <c r="J41" s="113">
        <f>W41*$J$97/100</f>
        <v>0</v>
      </c>
      <c r="K41" s="112">
        <f>Q41*$K$97/100</f>
        <v>251.58615409725545</v>
      </c>
      <c r="L41" s="112">
        <f>Q41*$L$97/100</f>
        <v>384.24067171217195</v>
      </c>
      <c r="M41" s="112">
        <f>Q41*$M$97/100+2000</f>
        <v>2567.2124201465394</v>
      </c>
      <c r="N41" s="122">
        <v>165</v>
      </c>
      <c r="O41" s="122">
        <v>999</v>
      </c>
      <c r="P41" s="122">
        <v>2009</v>
      </c>
      <c r="Q41" s="113">
        <f>X41*$Q$97/100</f>
        <v>1279.4315366824685</v>
      </c>
      <c r="R41" s="112">
        <f>SUM(I41:P41)</f>
        <v>7784.655359690822</v>
      </c>
      <c r="T41" s="10">
        <v>0</v>
      </c>
      <c r="U41" s="10">
        <v>1282</v>
      </c>
      <c r="V41" s="10">
        <v>1282</v>
      </c>
      <c r="W41" s="10">
        <v>0</v>
      </c>
      <c r="X41" s="10">
        <v>1911</v>
      </c>
      <c r="Y41" s="10">
        <v>3193</v>
      </c>
    </row>
    <row r="42" spans="1:25" ht="14.25">
      <c r="A42" s="101"/>
      <c r="B42" s="101"/>
      <c r="C42" s="101"/>
      <c r="D42" s="112">
        <f aca="true" t="shared" si="5" ref="D42:R42">SUM(D40:D41)</f>
        <v>18649.4356001486</v>
      </c>
      <c r="E42" s="112">
        <f t="shared" si="5"/>
        <v>27843.84329016733</v>
      </c>
      <c r="F42" s="112">
        <f t="shared" si="5"/>
        <v>46493.27889031593</v>
      </c>
      <c r="G42" s="112">
        <f t="shared" si="5"/>
        <v>3370.4040055086143</v>
      </c>
      <c r="H42" s="112">
        <f t="shared" si="5"/>
        <v>3156.858859624606</v>
      </c>
      <c r="I42" s="112">
        <f t="shared" si="5"/>
        <v>53020.54175544914</v>
      </c>
      <c r="J42" s="112">
        <f t="shared" si="5"/>
        <v>4968.584371257733</v>
      </c>
      <c r="K42" s="112">
        <f t="shared" si="5"/>
        <v>18682.804873395515</v>
      </c>
      <c r="L42" s="112">
        <f t="shared" si="5"/>
        <v>30533.738352094962</v>
      </c>
      <c r="M42" s="112">
        <f t="shared" si="5"/>
        <v>49121.232805473526</v>
      </c>
      <c r="N42" s="112">
        <f t="shared" si="5"/>
        <v>330</v>
      </c>
      <c r="O42" s="112">
        <f t="shared" si="5"/>
        <v>1998</v>
      </c>
      <c r="P42" s="112">
        <f t="shared" si="5"/>
        <v>4018</v>
      </c>
      <c r="Q42" s="112">
        <f t="shared" si="5"/>
        <v>95010.67272353482</v>
      </c>
      <c r="R42" s="112">
        <f t="shared" si="5"/>
        <v>162672.90215767088</v>
      </c>
      <c r="T42" s="10">
        <v>20720.2981752007</v>
      </c>
      <c r="U42" s="10">
        <v>31281.5945107025</v>
      </c>
      <c r="V42" s="10">
        <v>52001.8926859033</v>
      </c>
      <c r="W42" s="10">
        <v>1152.38248978034</v>
      </c>
      <c r="X42" s="10">
        <v>141910.989661447</v>
      </c>
      <c r="Y42" s="10">
        <v>195065.264837131</v>
      </c>
    </row>
    <row r="43" spans="1:25" ht="14.25">
      <c r="A43" s="101"/>
      <c r="B43" s="101"/>
      <c r="C43" s="101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T43" s="10"/>
      <c r="U43" s="10"/>
      <c r="V43" s="10"/>
      <c r="W43" s="10"/>
      <c r="X43" s="10"/>
      <c r="Y43" s="10"/>
    </row>
    <row r="44" spans="1:25" ht="14.25">
      <c r="A44" s="101"/>
      <c r="B44" s="101"/>
      <c r="C44" s="101" t="s">
        <v>135</v>
      </c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T44" s="10"/>
      <c r="U44" s="10"/>
      <c r="V44" s="10"/>
      <c r="W44" s="10"/>
      <c r="X44" s="10"/>
      <c r="Y44" s="10"/>
    </row>
    <row r="45" spans="1:25" ht="14.25">
      <c r="A45" s="101"/>
      <c r="B45" s="101">
        <v>17</v>
      </c>
      <c r="C45" s="101" t="s">
        <v>375</v>
      </c>
      <c r="D45" s="113">
        <f>T45*$D$97/100</f>
        <v>9647.51324286944</v>
      </c>
      <c r="E45" s="113">
        <f>U45*$E$97/100</f>
        <v>782.3288684792799</v>
      </c>
      <c r="F45" s="112">
        <f>D45+E45</f>
        <v>10429.84211134872</v>
      </c>
      <c r="G45" s="112">
        <f>E45*$G$97/100</f>
        <v>94.6982901918114</v>
      </c>
      <c r="H45" s="112">
        <f>E45*$H$97/100</f>
        <v>88.69830913288642</v>
      </c>
      <c r="I45" s="112">
        <f>F45+G45+H45</f>
        <v>10613.238710673417</v>
      </c>
      <c r="J45" s="113">
        <f>W45*$J$97/100</f>
        <v>0</v>
      </c>
      <c r="K45" s="112">
        <f>Q45*$K$97/100</f>
        <v>7626.565887299627</v>
      </c>
      <c r="L45" s="112">
        <f>Q45*$L$97/100+5000</f>
        <v>16647.846082421245</v>
      </c>
      <c r="M45" s="112">
        <f>Q45*$M$97/100</f>
        <v>17194.439455002794</v>
      </c>
      <c r="N45" s="122">
        <v>165</v>
      </c>
      <c r="O45" s="122">
        <v>999</v>
      </c>
      <c r="P45" s="122">
        <v>2509</v>
      </c>
      <c r="Q45" s="113">
        <f>X45*$Q$97/100</f>
        <v>38784.60222825236</v>
      </c>
      <c r="R45" s="112">
        <f>SUM(I45:P45)</f>
        <v>55755.090135397084</v>
      </c>
      <c r="T45" s="10">
        <v>10718.7882425707</v>
      </c>
      <c r="U45" s="10">
        <v>878.919414347791</v>
      </c>
      <c r="V45" s="10">
        <v>11597.7076569185</v>
      </c>
      <c r="W45" s="10">
        <v>0</v>
      </c>
      <c r="X45" s="10">
        <v>57929.9264815487</v>
      </c>
      <c r="Y45" s="10">
        <v>69527.6341384672</v>
      </c>
    </row>
    <row r="46" spans="1:25" ht="14.25">
      <c r="A46" s="101"/>
      <c r="B46" s="101">
        <v>18</v>
      </c>
      <c r="C46" s="101" t="s">
        <v>43</v>
      </c>
      <c r="D46" s="113">
        <f>T46*$D$97/100</f>
        <v>9000.563332852695</v>
      </c>
      <c r="E46" s="113">
        <f>U46*$E$97/100</f>
        <v>13351.546041222902</v>
      </c>
      <c r="F46" s="112">
        <f>D46+E46</f>
        <v>22352.109374075597</v>
      </c>
      <c r="G46" s="112">
        <f>E46*$G$97/100</f>
        <v>1616.1599455977944</v>
      </c>
      <c r="H46" s="112">
        <f>E46*$H$97/100</f>
        <v>1513.7618025886775</v>
      </c>
      <c r="I46" s="112">
        <f>F46+G46+H46</f>
        <v>25482.03112226207</v>
      </c>
      <c r="J46" s="113">
        <f>W46*$J$97/100</f>
        <v>2155.7878635438196</v>
      </c>
      <c r="K46" s="112">
        <f>Q46*$K$97/100+417</f>
        <v>6999.578600137505</v>
      </c>
      <c r="L46" s="112">
        <f>Q46*$L$97/100</f>
        <v>10053.392771119099</v>
      </c>
      <c r="M46" s="112">
        <f>Q46*$M$97/100</f>
        <v>14840.722662128192</v>
      </c>
      <c r="N46" s="122">
        <v>200</v>
      </c>
      <c r="O46" s="122">
        <v>1100</v>
      </c>
      <c r="P46" s="122">
        <v>2009</v>
      </c>
      <c r="Q46" s="113">
        <f>X46*$Q$97/100</f>
        <v>33475.44575307348</v>
      </c>
      <c r="R46" s="112">
        <f>SUM(I46:P46)</f>
        <v>62840.51301919068</v>
      </c>
      <c r="T46" s="10">
        <v>10000</v>
      </c>
      <c r="U46" s="10">
        <v>15000</v>
      </c>
      <c r="V46" s="10">
        <v>25000</v>
      </c>
      <c r="W46" s="10">
        <v>500</v>
      </c>
      <c r="X46" s="10">
        <v>50000</v>
      </c>
      <c r="Y46" s="10">
        <v>75500</v>
      </c>
    </row>
    <row r="47" spans="1:25" ht="14.25">
      <c r="A47" s="101"/>
      <c r="B47" s="101">
        <v>19</v>
      </c>
      <c r="C47" s="117" t="s">
        <v>376</v>
      </c>
      <c r="D47" s="113">
        <f>T47*$D$97/100</f>
        <v>5356.089790644889</v>
      </c>
      <c r="E47" s="113">
        <f>U47*$E$97/100</f>
        <v>266639.83846715104</v>
      </c>
      <c r="F47" s="112">
        <f>D47+E47</f>
        <v>271995.9282577959</v>
      </c>
      <c r="G47" s="112">
        <f>E47*$G$97/100</f>
        <v>32275.859701997877</v>
      </c>
      <c r="H47" s="112">
        <f>E47*$H$97/100+1</f>
        <v>30231.896202865424</v>
      </c>
      <c r="I47" s="112">
        <f>F47+G47+H47</f>
        <v>334503.6841626592</v>
      </c>
      <c r="J47" s="113">
        <f>W47*$J$97/100</f>
        <v>7055.956046088138</v>
      </c>
      <c r="K47" s="112">
        <f>Q47*$K$97/100</f>
        <v>3413.7061674669717</v>
      </c>
      <c r="L47" s="112">
        <f>Q47*$L$97/100</f>
        <v>5213.660328495011</v>
      </c>
      <c r="M47" s="112">
        <f>Q47*$M$97/100+2778</f>
        <v>10474.355723016444</v>
      </c>
      <c r="N47" s="122">
        <v>165</v>
      </c>
      <c r="O47" s="122">
        <v>999</v>
      </c>
      <c r="P47" s="122">
        <v>2009</v>
      </c>
      <c r="Q47" s="113">
        <f>X47*$Q$97/100</f>
        <v>17360.269062884545</v>
      </c>
      <c r="R47" s="112">
        <f>SUM(I47:P47)</f>
        <v>363834.3624277258</v>
      </c>
      <c r="T47" s="10">
        <v>5950.83840040854</v>
      </c>
      <c r="U47" s="10">
        <v>299560.63250342</v>
      </c>
      <c r="V47" s="10">
        <v>305512.470903829</v>
      </c>
      <c r="W47" s="10">
        <v>1636.51446540967</v>
      </c>
      <c r="X47" s="10">
        <v>25929.8549613647</v>
      </c>
      <c r="Y47" s="10">
        <v>333078.840330603</v>
      </c>
    </row>
    <row r="48" spans="1:25" ht="14.25">
      <c r="A48" s="101">
        <v>3</v>
      </c>
      <c r="B48" s="101"/>
      <c r="C48" s="101" t="s">
        <v>78</v>
      </c>
      <c r="D48" s="112">
        <f>D45+D46+D47</f>
        <v>24004.166366367022</v>
      </c>
      <c r="E48" s="112">
        <f>E45+E46+E47</f>
        <v>280773.7133768532</v>
      </c>
      <c r="F48" s="112">
        <f>SUM(F45:F47)</f>
        <v>304777.8797432202</v>
      </c>
      <c r="G48" s="112">
        <f>G45+G46+G47</f>
        <v>33986.717937787485</v>
      </c>
      <c r="H48" s="112">
        <f>H45+H46+H47</f>
        <v>31834.35631458699</v>
      </c>
      <c r="I48" s="112">
        <f>SUM(I45:I47)</f>
        <v>370598.9539955947</v>
      </c>
      <c r="J48" s="112">
        <f aca="true" t="shared" si="6" ref="J48:R48">J45+J46+J47</f>
        <v>9211.743909631958</v>
      </c>
      <c r="K48" s="112">
        <f t="shared" si="6"/>
        <v>18039.850654904105</v>
      </c>
      <c r="L48" s="112">
        <f t="shared" si="6"/>
        <v>31914.899182035355</v>
      </c>
      <c r="M48" s="112">
        <f t="shared" si="6"/>
        <v>42509.517840147426</v>
      </c>
      <c r="N48" s="112">
        <f t="shared" si="6"/>
        <v>530</v>
      </c>
      <c r="O48" s="112">
        <f t="shared" si="6"/>
        <v>3098</v>
      </c>
      <c r="P48" s="112">
        <f t="shared" si="6"/>
        <v>6527</v>
      </c>
      <c r="Q48" s="112">
        <f t="shared" si="6"/>
        <v>89620.31704421039</v>
      </c>
      <c r="R48" s="112">
        <f t="shared" si="6"/>
        <v>482429.9655823136</v>
      </c>
      <c r="T48" s="10">
        <v>26669.6266429792</v>
      </c>
      <c r="U48" s="10">
        <v>315439.551917768</v>
      </c>
      <c r="V48" s="10">
        <v>342110.178560747</v>
      </c>
      <c r="W48" s="10">
        <v>2136.51446540967</v>
      </c>
      <c r="X48" s="10">
        <v>133859.781442913</v>
      </c>
      <c r="Y48" s="10">
        <v>478107.47446907</v>
      </c>
    </row>
    <row r="49" spans="1:25" ht="14.25">
      <c r="A49" s="101"/>
      <c r="B49" s="101"/>
      <c r="C49" s="101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T49" s="10"/>
      <c r="U49" s="10"/>
      <c r="V49" s="10"/>
      <c r="W49" s="10"/>
      <c r="X49" s="10"/>
      <c r="Y49" s="10"/>
    </row>
    <row r="50" spans="1:25" ht="14.25">
      <c r="A50" s="101"/>
      <c r="B50" s="101"/>
      <c r="C50" s="117" t="s">
        <v>163</v>
      </c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T50" s="10"/>
      <c r="U50" s="10"/>
      <c r="V50" s="10"/>
      <c r="W50" s="10"/>
      <c r="X50" s="10"/>
      <c r="Y50" s="10"/>
    </row>
    <row r="51" spans="1:25" ht="14.25">
      <c r="A51" s="101"/>
      <c r="B51" s="101">
        <v>20</v>
      </c>
      <c r="C51" s="117" t="s">
        <v>377</v>
      </c>
      <c r="D51" s="113">
        <f>T51*$D$97/100</f>
        <v>0</v>
      </c>
      <c r="E51" s="113">
        <f>U51*$E$97/100</f>
        <v>0</v>
      </c>
      <c r="F51" s="112">
        <f>D51+E51</f>
        <v>0</v>
      </c>
      <c r="G51" s="112">
        <f>E51*$G$97/100</f>
        <v>0</v>
      </c>
      <c r="H51" s="112">
        <f>E51*$H$97/100</f>
        <v>0</v>
      </c>
      <c r="I51" s="112">
        <f>F51+G51+H51</f>
        <v>0</v>
      </c>
      <c r="J51" s="113">
        <f>W51*$J$97/100</f>
        <v>0</v>
      </c>
      <c r="K51" s="112">
        <f>Q51*$K$97/100</f>
        <v>152.7478716906673</v>
      </c>
      <c r="L51" s="112">
        <f>Q51*$L$97/100+506</f>
        <v>739.28765858211</v>
      </c>
      <c r="M51" s="112">
        <f>Q51*$M$97/100</f>
        <v>344.37701981168624</v>
      </c>
      <c r="N51" s="122">
        <v>165</v>
      </c>
      <c r="O51" s="122">
        <v>999</v>
      </c>
      <c r="P51" s="122">
        <v>2009</v>
      </c>
      <c r="Q51" s="113">
        <f>X51*$Q$97/100</f>
        <v>776.7933211722756</v>
      </c>
      <c r="R51" s="112">
        <f>SUM(I51:P51)</f>
        <v>4409.412550084463</v>
      </c>
      <c r="T51" s="10">
        <v>0</v>
      </c>
      <c r="U51" s="10">
        <v>0</v>
      </c>
      <c r="V51" s="10">
        <v>0</v>
      </c>
      <c r="W51" s="10">
        <v>0</v>
      </c>
      <c r="X51" s="10">
        <v>1160.24343171137</v>
      </c>
      <c r="Y51" s="10">
        <v>1160.24343171137</v>
      </c>
    </row>
    <row r="52" spans="1:25" ht="14.25">
      <c r="A52" s="101"/>
      <c r="B52" s="101">
        <v>21</v>
      </c>
      <c r="C52" s="117" t="s">
        <v>378</v>
      </c>
      <c r="D52" s="113">
        <f>T52*$D$97/100</f>
        <v>0</v>
      </c>
      <c r="E52" s="113">
        <f>U52*$E$97/100</f>
        <v>8137.0045217769775</v>
      </c>
      <c r="F52" s="112">
        <f>D52+E52</f>
        <v>8137.0045217769775</v>
      </c>
      <c r="G52" s="112">
        <f>E52*$G$97/100</f>
        <v>984.9571536241042</v>
      </c>
      <c r="H52" s="112">
        <f>E52*$H$97/100</f>
        <v>922.5513355926792</v>
      </c>
      <c r="I52" s="112">
        <f>F52+G52+H52</f>
        <v>10044.513010993762</v>
      </c>
      <c r="J52" s="113">
        <f>W52*$J$97/100</f>
        <v>0</v>
      </c>
      <c r="K52" s="112">
        <f>Q52*$K$97/100</f>
        <v>2494.2373984931855</v>
      </c>
      <c r="L52" s="112">
        <f>Q52*$L$97/100</f>
        <v>3809.3807540623197</v>
      </c>
      <c r="M52" s="112">
        <f>Q52*$M$97/100+2000</f>
        <v>7623.371589330091</v>
      </c>
      <c r="N52" s="122">
        <v>165</v>
      </c>
      <c r="O52" s="122">
        <v>999</v>
      </c>
      <c r="P52" s="122">
        <v>2009</v>
      </c>
      <c r="Q52" s="113">
        <f>X52*$Q$97/100</f>
        <v>12684.346636863796</v>
      </c>
      <c r="R52" s="112">
        <f>SUM(I52:P52)</f>
        <v>27144.502752879358</v>
      </c>
      <c r="T52" s="10">
        <v>0</v>
      </c>
      <c r="U52" s="10">
        <v>9141.64303143693</v>
      </c>
      <c r="V52" s="10">
        <v>9141.64303143693</v>
      </c>
      <c r="W52" s="10">
        <v>0</v>
      </c>
      <c r="X52" s="10">
        <v>18945.7471760465</v>
      </c>
      <c r="Y52" s="10">
        <v>28088.3902074835</v>
      </c>
    </row>
    <row r="53" spans="1:25" ht="14.25">
      <c r="A53" s="101">
        <v>2</v>
      </c>
      <c r="B53" s="101"/>
      <c r="C53" s="101" t="s">
        <v>78</v>
      </c>
      <c r="D53" s="112">
        <f aca="true" t="shared" si="7" ref="D53:R53">D51+D52</f>
        <v>0</v>
      </c>
      <c r="E53" s="112">
        <f t="shared" si="7"/>
        <v>8137.0045217769775</v>
      </c>
      <c r="F53" s="112">
        <f t="shared" si="7"/>
        <v>8137.0045217769775</v>
      </c>
      <c r="G53" s="112">
        <f t="shared" si="7"/>
        <v>984.9571536241042</v>
      </c>
      <c r="H53" s="112">
        <f t="shared" si="7"/>
        <v>922.5513355926792</v>
      </c>
      <c r="I53" s="112">
        <f t="shared" si="7"/>
        <v>10044.513010993762</v>
      </c>
      <c r="J53" s="112">
        <f t="shared" si="7"/>
        <v>0</v>
      </c>
      <c r="K53" s="112">
        <f t="shared" si="7"/>
        <v>2646.9852701838527</v>
      </c>
      <c r="L53" s="112">
        <f t="shared" si="7"/>
        <v>4548.66841264443</v>
      </c>
      <c r="M53" s="112">
        <f t="shared" si="7"/>
        <v>7967.748609141778</v>
      </c>
      <c r="N53" s="112">
        <f t="shared" si="7"/>
        <v>330</v>
      </c>
      <c r="O53" s="112">
        <f t="shared" si="7"/>
        <v>1998</v>
      </c>
      <c r="P53" s="112">
        <f t="shared" si="7"/>
        <v>4018</v>
      </c>
      <c r="Q53" s="112">
        <f t="shared" si="7"/>
        <v>13461.139958036072</v>
      </c>
      <c r="R53" s="112">
        <f t="shared" si="7"/>
        <v>31553.915302963822</v>
      </c>
      <c r="T53" s="10">
        <v>0</v>
      </c>
      <c r="U53" s="10">
        <v>9141.64303143693</v>
      </c>
      <c r="V53" s="10">
        <v>9141.64303143693</v>
      </c>
      <c r="W53" s="10">
        <v>0</v>
      </c>
      <c r="X53" s="10">
        <v>20105.9906077579</v>
      </c>
      <c r="Y53" s="10">
        <v>29247.6336391948</v>
      </c>
    </row>
    <row r="54" spans="1:25" ht="14.25">
      <c r="A54" s="101"/>
      <c r="B54" s="101"/>
      <c r="C54" s="101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T54" s="10"/>
      <c r="U54" s="10"/>
      <c r="V54" s="10"/>
      <c r="W54" s="10"/>
      <c r="X54" s="10"/>
      <c r="Y54" s="10"/>
    </row>
    <row r="55" spans="1:25" ht="14.25">
      <c r="A55" s="101"/>
      <c r="B55" s="101"/>
      <c r="C55" s="101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T55" s="10"/>
      <c r="U55" s="10"/>
      <c r="V55" s="10"/>
      <c r="W55" s="10"/>
      <c r="X55" s="10"/>
      <c r="Y55" s="10"/>
    </row>
    <row r="56" spans="1:25" ht="14.25">
      <c r="A56" s="101"/>
      <c r="B56" s="101"/>
      <c r="C56" s="117" t="s">
        <v>148</v>
      </c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3"/>
      <c r="R56" s="112"/>
      <c r="T56" s="10"/>
      <c r="U56" s="10"/>
      <c r="V56" s="10"/>
      <c r="W56" s="10"/>
      <c r="X56" s="10"/>
      <c r="Y56" s="10"/>
    </row>
    <row r="57" spans="1:25" ht="14.25">
      <c r="A57" s="101"/>
      <c r="B57" s="101">
        <v>22</v>
      </c>
      <c r="C57" s="117" t="s">
        <v>379</v>
      </c>
      <c r="D57" s="113">
        <f>T57*$D$97/100</f>
        <v>392.95076613981706</v>
      </c>
      <c r="E57" s="113">
        <f>U57*$E$97/100</f>
        <v>1078.3981896330924</v>
      </c>
      <c r="F57" s="112">
        <f>D57+E57</f>
        <v>1471.3489557729094</v>
      </c>
      <c r="G57" s="112">
        <f>E57*$G$97/100</f>
        <v>130.536490239339</v>
      </c>
      <c r="H57" s="112">
        <f>E57*$H$97/100+3</f>
        <v>125.26583965686099</v>
      </c>
      <c r="I57" s="112">
        <f>F57+G57+H57</f>
        <v>1727.1512856691095</v>
      </c>
      <c r="J57" s="113">
        <f>W57*$J$97/100</f>
        <v>9942.926082458982</v>
      </c>
      <c r="K57" s="112">
        <f>Q57*$K$97/100</f>
        <v>6149.358621835439</v>
      </c>
      <c r="L57" s="112">
        <f>Q57*$L$97/100+2000</f>
        <v>11391.747713348672</v>
      </c>
      <c r="M57" s="112">
        <f>Q57*$M$97/100</f>
        <v>13864.008529228991</v>
      </c>
      <c r="N57" s="122">
        <v>165</v>
      </c>
      <c r="O57" s="122">
        <v>999</v>
      </c>
      <c r="P57" s="122">
        <v>2009</v>
      </c>
      <c r="Q57" s="113">
        <f>X57*$Q$97/100</f>
        <v>31272.322514636875</v>
      </c>
      <c r="R57" s="112">
        <f>SUM(I57:P57)</f>
        <v>46248.1922325412</v>
      </c>
      <c r="T57" s="10">
        <v>436.584635436672</v>
      </c>
      <c r="U57" s="10">
        <v>1211.54305235911</v>
      </c>
      <c r="V57" s="10">
        <v>1649.12768779578</v>
      </c>
      <c r="W57" s="10">
        <v>2306.10030110156</v>
      </c>
      <c r="X57" s="10">
        <v>46709.3444330994</v>
      </c>
      <c r="Y57" s="10">
        <v>50663.5724219968</v>
      </c>
    </row>
    <row r="58" spans="1:25" ht="14.25">
      <c r="A58" s="101"/>
      <c r="B58" s="101">
        <v>23</v>
      </c>
      <c r="C58" s="117" t="s">
        <v>380</v>
      </c>
      <c r="D58" s="113">
        <f>T58*$D$97/100</f>
        <v>0</v>
      </c>
      <c r="E58" s="113">
        <f>U58*$E$97/100</f>
        <v>19454.303340981038</v>
      </c>
      <c r="F58" s="112">
        <f>D58+E58</f>
        <v>19454.303340981038</v>
      </c>
      <c r="G58" s="112">
        <f>E58*$G$97/100</f>
        <v>2354.8782839176815</v>
      </c>
      <c r="H58" s="112">
        <f>E58*$H$97/100</f>
        <v>2205.6757474097776</v>
      </c>
      <c r="I58" s="112">
        <f>F58+G58+H58</f>
        <v>24014.8573723085</v>
      </c>
      <c r="J58" s="113">
        <f>W58*$J$97/100</f>
        <v>13000.073592468114</v>
      </c>
      <c r="K58" s="112">
        <f>Q58*$K$97/100</f>
        <v>3665.5622171033924</v>
      </c>
      <c r="L58" s="112">
        <f>Q58*$L$97/100+2000</f>
        <v>7598.313204303363</v>
      </c>
      <c r="M58" s="112">
        <f>Q58*$M$97/100+1000</f>
        <v>9264.176634924013</v>
      </c>
      <c r="N58" s="122">
        <v>165</v>
      </c>
      <c r="O58" s="122">
        <v>999</v>
      </c>
      <c r="P58" s="122">
        <v>2009</v>
      </c>
      <c r="Q58" s="113">
        <f>X58*$Q$97/100</f>
        <v>18641.07314276462</v>
      </c>
      <c r="R58" s="112">
        <f>SUM(I58:P58)</f>
        <v>60715.983021107386</v>
      </c>
      <c r="T58" s="10">
        <v>0</v>
      </c>
      <c r="U58" s="10">
        <v>21856.2366645584</v>
      </c>
      <c r="V58" s="10">
        <v>21856.2366645584</v>
      </c>
      <c r="W58" s="10">
        <v>3015.1560393094</v>
      </c>
      <c r="X58" s="10">
        <v>27842.9050359294</v>
      </c>
      <c r="Y58" s="10">
        <v>52714.2977397972</v>
      </c>
    </row>
    <row r="59" spans="1:25" s="52" customFormat="1" ht="14.25">
      <c r="A59" s="101"/>
      <c r="B59" s="101"/>
      <c r="C59" s="117" t="s">
        <v>381</v>
      </c>
      <c r="D59" s="113">
        <f>T59*$D$97/100</f>
        <v>0</v>
      </c>
      <c r="E59" s="113">
        <f>U59*$E$97/100</f>
        <v>17262.21393005414</v>
      </c>
      <c r="F59" s="112">
        <f>D59+E59</f>
        <v>17262.21393005414</v>
      </c>
      <c r="G59" s="112">
        <f>E59*$G$97/100</f>
        <v>2089.5332001220804</v>
      </c>
      <c r="H59" s="112">
        <f>E59*$H$97/100</f>
        <v>1957.1426406163775</v>
      </c>
      <c r="I59" s="112">
        <f>F59+G59+H59</f>
        <v>21308.889770792597</v>
      </c>
      <c r="J59" s="113">
        <f>W59*$J$97/100</f>
        <v>11088.636731219425</v>
      </c>
      <c r="K59" s="112">
        <f>Q59*$K$97/100</f>
        <v>2601.3542604129634</v>
      </c>
      <c r="L59" s="112">
        <f>Q59*$L$97/100</f>
        <v>3972.9774159034346</v>
      </c>
      <c r="M59" s="112">
        <f>Q59*$M$97/100+1000+1204</f>
        <v>8068.871423476499</v>
      </c>
      <c r="N59" s="122">
        <v>165</v>
      </c>
      <c r="O59" s="122">
        <v>999</v>
      </c>
      <c r="P59" s="122">
        <v>2009</v>
      </c>
      <c r="Q59" s="113">
        <f>X59*$Q$97/100</f>
        <v>13229.085244369384</v>
      </c>
      <c r="R59" s="112">
        <f>SUM(I59:P59)</f>
        <v>50213.729601804924</v>
      </c>
      <c r="T59" s="49">
        <v>0</v>
      </c>
      <c r="U59" s="49">
        <v>19393.5000599448</v>
      </c>
      <c r="V59" s="49">
        <v>19393.5000599448</v>
      </c>
      <c r="W59" s="49">
        <v>2571.82928773688</v>
      </c>
      <c r="X59" s="49">
        <v>19759.3862408162</v>
      </c>
      <c r="Y59" s="49">
        <v>41724.7155884979</v>
      </c>
    </row>
    <row r="60" spans="1:25" ht="14.25">
      <c r="A60" s="101"/>
      <c r="B60" s="101">
        <v>24</v>
      </c>
      <c r="C60" s="101" t="s">
        <v>382</v>
      </c>
      <c r="D60" s="113">
        <f>T60*$D$97/100</f>
        <v>3019.7412137049</v>
      </c>
      <c r="E60" s="113">
        <f>U60*$E$97/100</f>
        <v>335.28380077683505</v>
      </c>
      <c r="F60" s="112">
        <f>D60+E60</f>
        <v>3355.025014481735</v>
      </c>
      <c r="G60" s="112">
        <f>E60*$G$97/100</f>
        <v>40.58498151077641</v>
      </c>
      <c r="H60" s="112">
        <f>E60*$H$97/100</f>
        <v>38.013561056951424</v>
      </c>
      <c r="I60" s="112">
        <f>F60+G60+H60</f>
        <v>3433.6235570494628</v>
      </c>
      <c r="J60" s="113">
        <f>W60*$J$97/100</f>
        <v>1992.0396204579056</v>
      </c>
      <c r="K60" s="112">
        <f>Q60*$K$97/100</f>
        <v>16583.77842393487</v>
      </c>
      <c r="L60" s="112">
        <f>Q60*$L$97/100+2979</f>
        <v>28306.95250200961</v>
      </c>
      <c r="M60" s="112">
        <f>Q60*$M$97/100+4000</f>
        <v>41388.88226487134</v>
      </c>
      <c r="N60" s="122">
        <v>165</v>
      </c>
      <c r="O60" s="122">
        <v>999</v>
      </c>
      <c r="P60" s="122">
        <v>2009</v>
      </c>
      <c r="Q60" s="113">
        <f>X60*$Q$97/100</f>
        <v>84336.15589486853</v>
      </c>
      <c r="R60" s="112">
        <f>SUM(I60:P60)</f>
        <v>94878.27636832319</v>
      </c>
      <c r="T60" s="10">
        <v>3355.05801362747</v>
      </c>
      <c r="U60" s="10">
        <v>376.679749006197</v>
      </c>
      <c r="V60" s="10">
        <v>3731.73776263366</v>
      </c>
      <c r="W60" s="10">
        <v>462.02125314484</v>
      </c>
      <c r="X60" s="10">
        <v>125967.188782132</v>
      </c>
      <c r="Y60" s="10">
        <v>130160.947797911</v>
      </c>
    </row>
    <row r="61" spans="1:25" ht="14.25">
      <c r="A61" s="101"/>
      <c r="B61" s="101">
        <v>25</v>
      </c>
      <c r="C61" s="117" t="s">
        <v>383</v>
      </c>
      <c r="D61" s="113">
        <f>T61*$D$97/100</f>
        <v>3545.099303217908</v>
      </c>
      <c r="E61" s="113">
        <f>U61*$E$97/100</f>
        <v>5605.70986211093</v>
      </c>
      <c r="F61" s="112">
        <f>D61+E61</f>
        <v>9150.809165328837</v>
      </c>
      <c r="G61" s="112">
        <f>E61*$G$97/100</f>
        <v>678.5524101714004</v>
      </c>
      <c r="H61" s="112">
        <f>E61*$H$97/100</f>
        <v>635.5600646890283</v>
      </c>
      <c r="I61" s="112">
        <f>F61+G61+H61</f>
        <v>10464.921640189266</v>
      </c>
      <c r="J61" s="113">
        <f>W61*$J$97/100</f>
        <v>18809.22959547971</v>
      </c>
      <c r="K61" s="112">
        <f>Q61*$K$97/100</f>
        <v>14321.563109022525</v>
      </c>
      <c r="L61" s="112">
        <f>Q61*$L$97/100</f>
        <v>21872.932748325307</v>
      </c>
      <c r="M61" s="112">
        <f>Q61*$M$97/100+2000</f>
        <v>34288.6150094326</v>
      </c>
      <c r="N61" s="122">
        <v>165</v>
      </c>
      <c r="O61" s="122">
        <v>999</v>
      </c>
      <c r="P61" s="122">
        <v>2009</v>
      </c>
      <c r="Q61" s="113">
        <f>X61*$Q$97/100</f>
        <v>72831.748480039</v>
      </c>
      <c r="R61" s="112">
        <f>SUM(I61:P61)</f>
        <v>102930.26210244941</v>
      </c>
      <c r="T61" s="10">
        <v>3938.75268926562</v>
      </c>
      <c r="U61" s="10">
        <v>6297.82106671763</v>
      </c>
      <c r="V61" s="10">
        <v>10236.5737559833</v>
      </c>
      <c r="W61" s="10">
        <v>4362.49547405836</v>
      </c>
      <c r="X61" s="10">
        <v>108783.83669223</v>
      </c>
      <c r="Y61" s="10">
        <v>123382.905922271</v>
      </c>
    </row>
    <row r="62" spans="1:25" ht="14.25">
      <c r="A62" s="101">
        <v>4</v>
      </c>
      <c r="B62" s="101"/>
      <c r="C62" s="101" t="s">
        <v>78</v>
      </c>
      <c r="D62" s="112">
        <f>D57+D58+D59+D60+D61</f>
        <v>6957.791283062625</v>
      </c>
      <c r="E62" s="112">
        <f>E57+E58+E59+E60+E61</f>
        <v>43735.90912355604</v>
      </c>
      <c r="F62" s="112">
        <f>SUM(F57:F61)</f>
        <v>50693.70040661866</v>
      </c>
      <c r="G62" s="112">
        <f>G57+G58+G59+G60+G61</f>
        <v>5294.0853659612785</v>
      </c>
      <c r="H62" s="112">
        <f>H57+H58+H59+H60+H61</f>
        <v>4961.657853428996</v>
      </c>
      <c r="I62" s="112">
        <f>SUM(I57:I61)</f>
        <v>60949.44362600893</v>
      </c>
      <c r="J62" s="112">
        <f aca="true" t="shared" si="8" ref="J62:R62">J57+J58+J59+J60+J61</f>
        <v>54832.90562208414</v>
      </c>
      <c r="K62" s="112">
        <f t="shared" si="8"/>
        <v>43321.61663230919</v>
      </c>
      <c r="L62" s="112">
        <f t="shared" si="8"/>
        <v>73142.9235838904</v>
      </c>
      <c r="M62" s="112">
        <f t="shared" si="8"/>
        <v>106874.55386193344</v>
      </c>
      <c r="N62" s="112">
        <f t="shared" si="8"/>
        <v>825</v>
      </c>
      <c r="O62" s="112">
        <f t="shared" si="8"/>
        <v>4995</v>
      </c>
      <c r="P62" s="112">
        <f t="shared" si="8"/>
        <v>10045</v>
      </c>
      <c r="Q62" s="112">
        <f t="shared" si="8"/>
        <v>220310.38527667843</v>
      </c>
      <c r="R62" s="112">
        <f t="shared" si="8"/>
        <v>354986.44332622614</v>
      </c>
      <c r="T62" s="10">
        <v>7731.39533832976</v>
      </c>
      <c r="U62" s="10">
        <v>49136.7805925861</v>
      </c>
      <c r="V62" s="10">
        <v>56868.1759309159</v>
      </c>
      <c r="W62" s="10">
        <v>12716.602355351</v>
      </c>
      <c r="X62" s="10">
        <v>329061.661184207</v>
      </c>
      <c r="Y62" s="10">
        <v>398647.439470474</v>
      </c>
    </row>
    <row r="63" spans="1:25" ht="14.25">
      <c r="A63" s="101"/>
      <c r="B63" s="101"/>
      <c r="C63" s="101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T63" s="10"/>
      <c r="U63" s="10"/>
      <c r="V63" s="10"/>
      <c r="W63" s="10"/>
      <c r="X63" s="10"/>
      <c r="Y63" s="10"/>
    </row>
    <row r="64" spans="1:25" ht="14.25">
      <c r="A64" s="101"/>
      <c r="B64" s="101"/>
      <c r="C64" s="101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T64" s="10"/>
      <c r="U64" s="10"/>
      <c r="V64" s="10"/>
      <c r="W64" s="10"/>
      <c r="X64" s="10"/>
      <c r="Y64" s="10"/>
    </row>
    <row r="65" spans="1:25" ht="14.25">
      <c r="A65" s="101"/>
      <c r="B65" s="101"/>
      <c r="C65" s="117" t="s">
        <v>171</v>
      </c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T65" s="10"/>
      <c r="U65" s="10"/>
      <c r="V65" s="10"/>
      <c r="W65" s="10"/>
      <c r="X65" s="10"/>
      <c r="Y65" s="10"/>
    </row>
    <row r="66" spans="1:25" ht="14.25">
      <c r="A66" s="101"/>
      <c r="B66" s="101">
        <v>26</v>
      </c>
      <c r="C66" s="117" t="s">
        <v>384</v>
      </c>
      <c r="D66" s="113">
        <f>T66*$D$97/100</f>
        <v>0</v>
      </c>
      <c r="E66" s="113">
        <f>U66*$E$97/100</f>
        <v>0</v>
      </c>
      <c r="F66" s="112">
        <f>D66+E66</f>
        <v>0</v>
      </c>
      <c r="G66" s="112">
        <f>E66*$G$97/100</f>
        <v>0</v>
      </c>
      <c r="H66" s="112">
        <f>E66*$H$97/100</f>
        <v>0</v>
      </c>
      <c r="I66" s="112">
        <f>F66+G66+H66</f>
        <v>0</v>
      </c>
      <c r="J66" s="113">
        <f>W66*$J$97/100</f>
        <v>4635.62323196365</v>
      </c>
      <c r="K66" s="112">
        <f>Q66*$K$97/100</f>
        <v>33383.61200012121</v>
      </c>
      <c r="L66" s="112">
        <f>Q66*$L$97/100+2000</f>
        <v>52985.88014563967</v>
      </c>
      <c r="M66" s="112">
        <f>Q66*$M$97/100+2000</f>
        <v>77264.87069118237</v>
      </c>
      <c r="N66" s="122">
        <v>150</v>
      </c>
      <c r="O66" s="122">
        <v>999</v>
      </c>
      <c r="P66" s="122">
        <v>2009</v>
      </c>
      <c r="Q66" s="113">
        <f>X66*$Q$97/100</f>
        <v>169771.05180762536</v>
      </c>
      <c r="R66" s="112">
        <f>SUM(I66:P66)</f>
        <v>171427.9860689069</v>
      </c>
      <c r="T66" s="10">
        <v>0</v>
      </c>
      <c r="U66" s="10">
        <v>0</v>
      </c>
      <c r="V66" s="10">
        <v>0</v>
      </c>
      <c r="W66" s="10">
        <v>1075.15755848614</v>
      </c>
      <c r="X66" s="10">
        <v>253575.490913423</v>
      </c>
      <c r="Y66" s="10">
        <v>254649.648471909</v>
      </c>
    </row>
    <row r="67" spans="1:25" ht="14.25">
      <c r="A67" s="101"/>
      <c r="B67" s="101">
        <v>27</v>
      </c>
      <c r="C67" s="117" t="s">
        <v>364</v>
      </c>
      <c r="D67" s="113">
        <f>T67*$D$97/100</f>
        <v>0</v>
      </c>
      <c r="E67" s="113">
        <f>U67*$E$97/100</f>
        <v>0</v>
      </c>
      <c r="F67" s="112">
        <f>D67+E67</f>
        <v>0</v>
      </c>
      <c r="G67" s="112">
        <f>E67*$G$97/100</f>
        <v>0</v>
      </c>
      <c r="H67" s="112">
        <f>E67*$H$97/100</f>
        <v>0</v>
      </c>
      <c r="I67" s="112">
        <f>F67+G67+H67</f>
        <v>0</v>
      </c>
      <c r="J67" s="113">
        <f>W67*$J$97/100</f>
        <v>2155.7878635438196</v>
      </c>
      <c r="K67" s="112">
        <f>Q67*$K$97/100</f>
        <v>6582.578600137505</v>
      </c>
      <c r="L67" s="112">
        <f>Q67*$L$97/100+1000</f>
        <v>11053.392771119099</v>
      </c>
      <c r="M67" s="112">
        <f>Q67*$M$97/100+1000</f>
        <v>15840.722662128192</v>
      </c>
      <c r="N67" s="122">
        <v>150</v>
      </c>
      <c r="O67" s="122">
        <v>999</v>
      </c>
      <c r="P67" s="122">
        <v>2009</v>
      </c>
      <c r="Q67" s="113">
        <f>X67*$Q$97/100</f>
        <v>33475.44575307348</v>
      </c>
      <c r="R67" s="112">
        <f>SUM(I67:P67)</f>
        <v>38790.48189692861</v>
      </c>
      <c r="T67" s="10">
        <v>0</v>
      </c>
      <c r="U67" s="10">
        <v>0</v>
      </c>
      <c r="V67" s="10">
        <v>0</v>
      </c>
      <c r="W67" s="10">
        <v>500</v>
      </c>
      <c r="X67" s="10">
        <v>50000</v>
      </c>
      <c r="Y67" s="10">
        <v>50500</v>
      </c>
    </row>
    <row r="68" spans="1:25" ht="14.25">
      <c r="A68" s="101"/>
      <c r="B68" s="101">
        <v>28</v>
      </c>
      <c r="C68" s="117" t="s">
        <v>385</v>
      </c>
      <c r="D68" s="113">
        <f>T68*$D$97/100</f>
        <v>0</v>
      </c>
      <c r="E68" s="113">
        <f>U68*$E$97/100</f>
        <v>0</v>
      </c>
      <c r="F68" s="112">
        <f>D68+E68</f>
        <v>0</v>
      </c>
      <c r="G68" s="112">
        <f>E68*$G$97/100</f>
        <v>0</v>
      </c>
      <c r="H68" s="112">
        <f>E68*$H$97/100</f>
        <v>0</v>
      </c>
      <c r="I68" s="112">
        <f>F68+G68+H68</f>
        <v>0</v>
      </c>
      <c r="J68" s="113">
        <f>W68*$J$97/100</f>
        <v>2155.7878635438196</v>
      </c>
      <c r="K68" s="112">
        <f>Q68*$K$97/100</f>
        <v>9064.329398555079</v>
      </c>
      <c r="L68" s="112">
        <f>Q68*$L$97/100</f>
        <v>13843.703081429576</v>
      </c>
      <c r="M68" s="112">
        <f>Q68*$M$97/100+2000</f>
        <v>22435.942644015086</v>
      </c>
      <c r="N68" s="122">
        <v>150</v>
      </c>
      <c r="O68" s="122">
        <v>1100</v>
      </c>
      <c r="P68" s="122">
        <v>2009</v>
      </c>
      <c r="Q68" s="113">
        <f>X68*$Q$97/100</f>
        <v>46096.29227412207</v>
      </c>
      <c r="R68" s="112">
        <f>SUM(I68:P68)</f>
        <v>50758.76298754356</v>
      </c>
      <c r="T68" s="10">
        <v>0</v>
      </c>
      <c r="U68" s="10">
        <v>0</v>
      </c>
      <c r="V68" s="10">
        <v>0</v>
      </c>
      <c r="W68" s="10">
        <v>500</v>
      </c>
      <c r="X68" s="10">
        <v>68850.9013653535</v>
      </c>
      <c r="Y68" s="10">
        <v>69350.9013653535</v>
      </c>
    </row>
    <row r="69" spans="1:25" ht="14.25">
      <c r="A69" s="101">
        <v>3</v>
      </c>
      <c r="B69" s="101"/>
      <c r="C69" s="101" t="s">
        <v>78</v>
      </c>
      <c r="D69" s="112">
        <f aca="true" t="shared" si="9" ref="D69:R69">D66+D67+D68</f>
        <v>0</v>
      </c>
      <c r="E69" s="112">
        <f t="shared" si="9"/>
        <v>0</v>
      </c>
      <c r="F69" s="112">
        <f t="shared" si="9"/>
        <v>0</v>
      </c>
      <c r="G69" s="112">
        <f t="shared" si="9"/>
        <v>0</v>
      </c>
      <c r="H69" s="112">
        <f t="shared" si="9"/>
        <v>0</v>
      </c>
      <c r="I69" s="112">
        <f t="shared" si="9"/>
        <v>0</v>
      </c>
      <c r="J69" s="112">
        <f t="shared" si="9"/>
        <v>8947.19895905129</v>
      </c>
      <c r="K69" s="112">
        <f t="shared" si="9"/>
        <v>49030.5199988138</v>
      </c>
      <c r="L69" s="112">
        <f t="shared" si="9"/>
        <v>77882.97599818834</v>
      </c>
      <c r="M69" s="112">
        <f t="shared" si="9"/>
        <v>115541.53599732564</v>
      </c>
      <c r="N69" s="112">
        <f t="shared" si="9"/>
        <v>450</v>
      </c>
      <c r="O69" s="112">
        <f t="shared" si="9"/>
        <v>3098</v>
      </c>
      <c r="P69" s="112">
        <f t="shared" si="9"/>
        <v>6027</v>
      </c>
      <c r="Q69" s="112">
        <f t="shared" si="9"/>
        <v>249342.7898348209</v>
      </c>
      <c r="R69" s="112">
        <f t="shared" si="9"/>
        <v>260977.2309533791</v>
      </c>
      <c r="T69" s="10">
        <v>0</v>
      </c>
      <c r="U69" s="10">
        <v>0</v>
      </c>
      <c r="V69" s="10">
        <v>0</v>
      </c>
      <c r="W69" s="10">
        <v>2075.15755848614</v>
      </c>
      <c r="X69" s="10">
        <v>372426.392278777</v>
      </c>
      <c r="Y69" s="10">
        <v>374500.549837263</v>
      </c>
    </row>
    <row r="70" spans="1:25" ht="14.25">
      <c r="A70" s="101"/>
      <c r="B70" s="101"/>
      <c r="C70" s="101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T70" s="10"/>
      <c r="U70" s="10"/>
      <c r="V70" s="10"/>
      <c r="W70" s="10"/>
      <c r="X70" s="10"/>
      <c r="Y70" s="10"/>
    </row>
    <row r="71" spans="1:25" ht="14.25">
      <c r="A71" s="101">
        <v>1</v>
      </c>
      <c r="B71" s="101">
        <v>29</v>
      </c>
      <c r="C71" s="117" t="s">
        <v>386</v>
      </c>
      <c r="D71" s="113">
        <f>T71*$D$97/100</f>
        <v>0</v>
      </c>
      <c r="E71" s="113">
        <f>U71*$E$97/100</f>
        <v>0</v>
      </c>
      <c r="F71" s="112">
        <f>D71+E71</f>
        <v>0</v>
      </c>
      <c r="G71" s="112">
        <f>E71*$G$97/100</f>
        <v>0</v>
      </c>
      <c r="H71" s="112">
        <f>E71*$H$97/100</f>
        <v>0</v>
      </c>
      <c r="I71" s="112">
        <f>F71+G71+H71</f>
        <v>0</v>
      </c>
      <c r="J71" s="113">
        <f>W71*$J$97/100</f>
        <v>522.8832764606358</v>
      </c>
      <c r="K71" s="112">
        <f>Q71*$K$97/100</f>
        <v>267.9781861164497</v>
      </c>
      <c r="L71" s="112">
        <f>Q71*$L$97/100</f>
        <v>409.27577515966857</v>
      </c>
      <c r="M71" s="112">
        <f>Q71*$M$97/100+1000</f>
        <v>1604.1690014261776</v>
      </c>
      <c r="N71" s="122">
        <v>150</v>
      </c>
      <c r="O71" s="122">
        <v>1010</v>
      </c>
      <c r="P71" s="122">
        <v>2009</v>
      </c>
      <c r="Q71" s="113">
        <f>X71*$Q$97/100</f>
        <v>1362.7925737431908</v>
      </c>
      <c r="R71" s="112">
        <f>SUM(I71:P71)</f>
        <v>5973.306239162932</v>
      </c>
      <c r="T71" s="10">
        <v>0</v>
      </c>
      <c r="U71" s="10">
        <v>0</v>
      </c>
      <c r="V71" s="10">
        <v>0</v>
      </c>
      <c r="W71" s="10">
        <v>121.274288</v>
      </c>
      <c r="X71" s="10">
        <v>2035.51072</v>
      </c>
      <c r="Y71" s="10">
        <v>2156.785008</v>
      </c>
    </row>
    <row r="72" spans="1:25" ht="14.25">
      <c r="A72" s="101"/>
      <c r="B72" s="101"/>
      <c r="C72" s="101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T72" s="10"/>
      <c r="U72" s="10"/>
      <c r="V72" s="10"/>
      <c r="W72" s="10"/>
      <c r="X72" s="10"/>
      <c r="Y72" s="10"/>
    </row>
    <row r="73" spans="1:25" ht="14.25">
      <c r="A73" s="101"/>
      <c r="B73" s="101">
        <v>30</v>
      </c>
      <c r="C73" s="117" t="s">
        <v>387</v>
      </c>
      <c r="D73" s="113">
        <f>T73*$D$97/100</f>
        <v>0</v>
      </c>
      <c r="E73" s="113">
        <f>U73*$E$97/100</f>
        <v>0</v>
      </c>
      <c r="F73" s="112">
        <f>D73+E73</f>
        <v>0</v>
      </c>
      <c r="G73" s="112">
        <f>E73*$G$97/100</f>
        <v>0</v>
      </c>
      <c r="H73" s="112">
        <f>E73*$H$97/100</f>
        <v>0</v>
      </c>
      <c r="I73" s="112">
        <f>F73+G73+H73</f>
        <v>0</v>
      </c>
      <c r="J73" s="113">
        <f>W73*$J$97/100</f>
        <v>614.6089802125076</v>
      </c>
      <c r="K73" s="112">
        <f>Q73*$K$97/100</f>
        <v>367.8856256462496</v>
      </c>
      <c r="L73" s="112">
        <f>Q73*$L$97/100</f>
        <v>561.8616828051812</v>
      </c>
      <c r="M73" s="112">
        <f>Q73*$M$97/100</f>
        <v>829.4148650933628</v>
      </c>
      <c r="N73" s="122">
        <v>150</v>
      </c>
      <c r="O73" s="122">
        <v>1100</v>
      </c>
      <c r="P73" s="122">
        <v>2009</v>
      </c>
      <c r="Q73" s="113">
        <f>X73*$Q$97/100</f>
        <v>1870.8679459443558</v>
      </c>
      <c r="R73" s="112">
        <f>SUM(I73:P73)</f>
        <v>5632.771153757301</v>
      </c>
      <c r="T73" s="10">
        <v>0</v>
      </c>
      <c r="U73" s="10">
        <v>0</v>
      </c>
      <c r="V73" s="10">
        <v>0</v>
      </c>
      <c r="W73" s="10">
        <v>142.548576</v>
      </c>
      <c r="X73" s="10">
        <v>2794.3884</v>
      </c>
      <c r="Y73" s="10">
        <v>2936.936976</v>
      </c>
    </row>
    <row r="74" spans="1:25" ht="14.25">
      <c r="A74" s="101">
        <v>2</v>
      </c>
      <c r="B74" s="101">
        <v>31</v>
      </c>
      <c r="C74" s="117" t="s">
        <v>364</v>
      </c>
      <c r="D74" s="113">
        <f>T74*$D$97/100</f>
        <v>0</v>
      </c>
      <c r="E74" s="113">
        <f>U74*$E$97/100</f>
        <v>0</v>
      </c>
      <c r="F74" s="112">
        <f>D74+E74</f>
        <v>0</v>
      </c>
      <c r="G74" s="112">
        <f>E74*$G$97/100</f>
        <v>0</v>
      </c>
      <c r="H74" s="112">
        <f>E74*$H$97/100</f>
        <v>0</v>
      </c>
      <c r="I74" s="112">
        <f>F74+G74+H74</f>
        <v>0</v>
      </c>
      <c r="J74" s="113">
        <f>W74*$J$97/100</f>
        <v>431.157572708764</v>
      </c>
      <c r="K74" s="112">
        <f>Q74*$K$97/100</f>
        <v>131.6515720027501</v>
      </c>
      <c r="L74" s="112">
        <f>Q74*$L$97/100</f>
        <v>201.06785542238194</v>
      </c>
      <c r="M74" s="112">
        <f>Q74*$M$97/100</f>
        <v>296.81445324256384</v>
      </c>
      <c r="N74" s="122">
        <v>150</v>
      </c>
      <c r="O74" s="122">
        <v>999</v>
      </c>
      <c r="P74" s="122">
        <v>2009</v>
      </c>
      <c r="Q74" s="113">
        <f>X74*$Q$97/100</f>
        <v>669.5089150614696</v>
      </c>
      <c r="R74" s="112">
        <f>SUM(I74:P74)</f>
        <v>4218.69145337646</v>
      </c>
      <c r="T74" s="10">
        <v>0</v>
      </c>
      <c r="U74" s="10">
        <v>0</v>
      </c>
      <c r="V74" s="10">
        <v>0</v>
      </c>
      <c r="W74" s="10">
        <v>100</v>
      </c>
      <c r="X74" s="10">
        <v>1000</v>
      </c>
      <c r="Y74" s="10">
        <v>1100</v>
      </c>
    </row>
    <row r="75" spans="1:25" ht="14.25">
      <c r="A75" s="101"/>
      <c r="B75" s="101"/>
      <c r="C75" s="101" t="s">
        <v>78</v>
      </c>
      <c r="D75" s="112">
        <f aca="true" t="shared" si="10" ref="D75:R75">D73+D74</f>
        <v>0</v>
      </c>
      <c r="E75" s="112">
        <f t="shared" si="10"/>
        <v>0</v>
      </c>
      <c r="F75" s="112">
        <f t="shared" si="10"/>
        <v>0</v>
      </c>
      <c r="G75" s="112">
        <f t="shared" si="10"/>
        <v>0</v>
      </c>
      <c r="H75" s="112">
        <f t="shared" si="10"/>
        <v>0</v>
      </c>
      <c r="I75" s="112">
        <f t="shared" si="10"/>
        <v>0</v>
      </c>
      <c r="J75" s="112">
        <f t="shared" si="10"/>
        <v>1045.7665529212716</v>
      </c>
      <c r="K75" s="112">
        <f t="shared" si="10"/>
        <v>499.5371976489997</v>
      </c>
      <c r="L75" s="112">
        <f t="shared" si="10"/>
        <v>762.9295382275632</v>
      </c>
      <c r="M75" s="112">
        <f t="shared" si="10"/>
        <v>1126.2293183359266</v>
      </c>
      <c r="N75" s="112">
        <f t="shared" si="10"/>
        <v>300</v>
      </c>
      <c r="O75" s="112">
        <f t="shared" si="10"/>
        <v>2099</v>
      </c>
      <c r="P75" s="112">
        <f t="shared" si="10"/>
        <v>4018</v>
      </c>
      <c r="Q75" s="112">
        <f t="shared" si="10"/>
        <v>2540.3768610058255</v>
      </c>
      <c r="R75" s="112">
        <f t="shared" si="10"/>
        <v>9851.462607133763</v>
      </c>
      <c r="T75" s="10">
        <v>0</v>
      </c>
      <c r="U75" s="10">
        <v>0</v>
      </c>
      <c r="V75" s="10">
        <v>0</v>
      </c>
      <c r="W75" s="10">
        <v>242.548576</v>
      </c>
      <c r="X75" s="10">
        <v>3794.3884</v>
      </c>
      <c r="Y75" s="10">
        <v>4036.936976</v>
      </c>
    </row>
    <row r="76" spans="1:25" ht="14.25">
      <c r="A76" s="101"/>
      <c r="B76" s="101"/>
      <c r="C76" s="101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T76" s="10"/>
      <c r="U76" s="10"/>
      <c r="V76" s="10"/>
      <c r="W76" s="10"/>
      <c r="X76" s="10"/>
      <c r="Y76" s="10"/>
    </row>
    <row r="77" spans="1:25" ht="14.25">
      <c r="A77" s="101"/>
      <c r="B77" s="101"/>
      <c r="C77" s="101" t="s">
        <v>43</v>
      </c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T77" s="10"/>
      <c r="U77" s="10"/>
      <c r="V77" s="10"/>
      <c r="W77" s="10"/>
      <c r="X77" s="10"/>
      <c r="Y77" s="10"/>
    </row>
    <row r="78" spans="1:25" ht="14.25">
      <c r="A78" s="101">
        <v>1</v>
      </c>
      <c r="B78" s="101">
        <v>32</v>
      </c>
      <c r="C78" s="117" t="s">
        <v>388</v>
      </c>
      <c r="D78" s="113">
        <f>T78*$D$97/100</f>
        <v>0</v>
      </c>
      <c r="E78" s="113">
        <f>U78*$E$97/100</f>
        <v>0</v>
      </c>
      <c r="F78" s="112">
        <f>D78+E78</f>
        <v>0</v>
      </c>
      <c r="G78" s="112">
        <f>E78*$G$97/100</f>
        <v>0</v>
      </c>
      <c r="H78" s="112">
        <f>E78*$H$97/100</f>
        <v>0</v>
      </c>
      <c r="I78" s="112">
        <f>F78+G78+H78</f>
        <v>0</v>
      </c>
      <c r="J78" s="113">
        <f>W78*$J$97/100</f>
        <v>522.8832764606358</v>
      </c>
      <c r="K78" s="112">
        <f>Q78*$K$97/100</f>
        <v>399.62975811919983</v>
      </c>
      <c r="L78" s="112">
        <f>Q78*$L$97/100</f>
        <v>610.3436305820507</v>
      </c>
      <c r="M78" s="112">
        <f>Q78*$M$97/100</f>
        <v>900.9834546687415</v>
      </c>
      <c r="N78" s="122">
        <v>150</v>
      </c>
      <c r="O78" s="122">
        <v>999</v>
      </c>
      <c r="P78" s="122">
        <v>2009</v>
      </c>
      <c r="Q78" s="113">
        <f>X78*$Q$97/100</f>
        <v>2032.3014888046607</v>
      </c>
      <c r="R78" s="112">
        <f>SUM(I78:P78)</f>
        <v>5591.840119830627</v>
      </c>
      <c r="T78" s="10">
        <v>0</v>
      </c>
      <c r="U78" s="10">
        <v>0</v>
      </c>
      <c r="V78" s="10">
        <v>0</v>
      </c>
      <c r="W78" s="10">
        <v>121.274288</v>
      </c>
      <c r="X78" s="10">
        <v>3035.51072</v>
      </c>
      <c r="Y78" s="10">
        <v>3156.785008</v>
      </c>
    </row>
    <row r="79" spans="1:25" ht="14.25">
      <c r="A79" s="101"/>
      <c r="B79" s="101"/>
      <c r="C79" s="101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T79" s="10"/>
      <c r="U79" s="10"/>
      <c r="V79" s="10"/>
      <c r="W79" s="10"/>
      <c r="X79" s="10"/>
      <c r="Y79" s="10"/>
    </row>
    <row r="80" spans="1:25" ht="14.25">
      <c r="A80" s="101"/>
      <c r="B80" s="101">
        <v>33</v>
      </c>
      <c r="C80" s="117" t="s">
        <v>389</v>
      </c>
      <c r="D80" s="113">
        <f>T80*$D$97/100</f>
        <v>0</v>
      </c>
      <c r="E80" s="113">
        <f>U80*$E$97/100</f>
        <v>0</v>
      </c>
      <c r="F80" s="112">
        <f>D80+E80</f>
        <v>0</v>
      </c>
      <c r="G80" s="112">
        <f>E80*$G$97/100</f>
        <v>0</v>
      </c>
      <c r="H80" s="112">
        <f>E80*$H$97/100</f>
        <v>0</v>
      </c>
      <c r="I80" s="112">
        <f>F80+G80+H80</f>
        <v>0</v>
      </c>
      <c r="J80" s="113">
        <f>W80*$J$97/100</f>
        <v>1045.7665529212716</v>
      </c>
      <c r="K80" s="112">
        <f>Q80*$K$97/100</f>
        <v>0</v>
      </c>
      <c r="L80" s="112">
        <f>Q80*$L$97/100</f>
        <v>0</v>
      </c>
      <c r="M80" s="112">
        <f>Q80*$M$97/100</f>
        <v>0</v>
      </c>
      <c r="N80" s="112">
        <v>0</v>
      </c>
      <c r="O80" s="112">
        <v>0</v>
      </c>
      <c r="P80" s="112">
        <v>0</v>
      </c>
      <c r="Q80" s="112"/>
      <c r="R80" s="112">
        <f>SUM(I80:P80)</f>
        <v>1045.7665529212716</v>
      </c>
      <c r="T80" s="10">
        <v>0</v>
      </c>
      <c r="U80" s="10">
        <v>0</v>
      </c>
      <c r="V80" s="10">
        <v>0</v>
      </c>
      <c r="W80" s="10">
        <v>242.548576</v>
      </c>
      <c r="X80" s="10">
        <v>1794.3884</v>
      </c>
      <c r="Y80" s="10">
        <v>2036.936976</v>
      </c>
    </row>
    <row r="81" spans="1:25" ht="14.25">
      <c r="A81" s="101"/>
      <c r="B81" s="101">
        <v>34</v>
      </c>
      <c r="C81" s="101" t="s">
        <v>390</v>
      </c>
      <c r="D81" s="113">
        <f>T81*$D$97/100</f>
        <v>0</v>
      </c>
      <c r="E81" s="113">
        <f>U81*$E$97/100</f>
        <v>0</v>
      </c>
      <c r="F81" s="112">
        <f>D81+E81</f>
        <v>0</v>
      </c>
      <c r="G81" s="112">
        <f>E81*$G$97/100</f>
        <v>0</v>
      </c>
      <c r="H81" s="112">
        <f>E81*$H$97/100</f>
        <v>0</v>
      </c>
      <c r="I81" s="112">
        <f>F81+G81+H81</f>
        <v>0</v>
      </c>
      <c r="J81" s="113">
        <f>W81*$J$97/100</f>
        <v>0</v>
      </c>
      <c r="K81" s="112">
        <f>Q81*$K$97/100</f>
        <v>131.6515720027501</v>
      </c>
      <c r="L81" s="112">
        <f>Q81*$L$97/100</f>
        <v>201.06785542238194</v>
      </c>
      <c r="M81" s="112">
        <f>Q81*$M$97/100</f>
        <v>296.81445324256384</v>
      </c>
      <c r="N81" s="122">
        <v>140</v>
      </c>
      <c r="O81" s="122">
        <v>999</v>
      </c>
      <c r="P81" s="122">
        <v>2009</v>
      </c>
      <c r="Q81" s="113">
        <f>X81*$Q$97/100</f>
        <v>669.5089150614696</v>
      </c>
      <c r="R81" s="112">
        <f>SUM(I81:P81)</f>
        <v>3777.533880667696</v>
      </c>
      <c r="T81" s="10">
        <v>0</v>
      </c>
      <c r="U81" s="10">
        <v>0</v>
      </c>
      <c r="V81" s="10">
        <v>0</v>
      </c>
      <c r="W81" s="10">
        <v>0</v>
      </c>
      <c r="X81" s="10">
        <v>1000</v>
      </c>
      <c r="Y81" s="10">
        <v>1000</v>
      </c>
    </row>
    <row r="82" spans="1:25" ht="14.25">
      <c r="A82" s="101"/>
      <c r="B82" s="101">
        <v>35</v>
      </c>
      <c r="C82" s="101" t="s">
        <v>391</v>
      </c>
      <c r="D82" s="113">
        <f>T82*$D$97/100</f>
        <v>0</v>
      </c>
      <c r="E82" s="113">
        <f>U82*$E$97/100</f>
        <v>0</v>
      </c>
      <c r="F82" s="112">
        <f>D82+E82</f>
        <v>0</v>
      </c>
      <c r="G82" s="112">
        <f>E82*$G$97/100</f>
        <v>0</v>
      </c>
      <c r="H82" s="112">
        <f>E82*$H$97/100</f>
        <v>0</v>
      </c>
      <c r="I82" s="112">
        <f>F82+G82+H82</f>
        <v>0</v>
      </c>
      <c r="J82" s="113">
        <f>W82*$J$97/100</f>
        <v>0</v>
      </c>
      <c r="K82" s="112">
        <f>Q82*$K$97/100</f>
        <v>131.6515720027501</v>
      </c>
      <c r="L82" s="112">
        <f>Q82*$L$97/100</f>
        <v>201.06785542238194</v>
      </c>
      <c r="M82" s="112">
        <f>Q82*$M$97/100</f>
        <v>296.81445324256384</v>
      </c>
      <c r="N82" s="122">
        <v>140</v>
      </c>
      <c r="O82" s="122">
        <v>999</v>
      </c>
      <c r="P82" s="122">
        <v>2009</v>
      </c>
      <c r="Q82" s="113">
        <f>X82*$Q$97/100</f>
        <v>669.5089150614696</v>
      </c>
      <c r="R82" s="112">
        <f>SUM(I82:P82)</f>
        <v>3777.533880667696</v>
      </c>
      <c r="T82" s="10">
        <v>0</v>
      </c>
      <c r="U82" s="10">
        <v>0</v>
      </c>
      <c r="V82" s="10">
        <v>0</v>
      </c>
      <c r="W82" s="10">
        <v>0</v>
      </c>
      <c r="X82" s="10">
        <v>1000</v>
      </c>
      <c r="Y82" s="10">
        <v>1000</v>
      </c>
    </row>
    <row r="83" spans="1:25" s="58" customFormat="1" ht="14.25">
      <c r="A83" s="101"/>
      <c r="B83" s="101">
        <v>2</v>
      </c>
      <c r="C83" s="117" t="s">
        <v>392</v>
      </c>
      <c r="D83" s="113">
        <f>T83*$D$97/100</f>
        <v>0</v>
      </c>
      <c r="E83" s="113">
        <f>U83*$E$97/100</f>
        <v>0</v>
      </c>
      <c r="F83" s="112">
        <f>D83+E83</f>
        <v>0</v>
      </c>
      <c r="G83" s="112">
        <f>E83*$G$97/100</f>
        <v>0</v>
      </c>
      <c r="H83" s="112">
        <f>E83*$H$97/100</f>
        <v>0</v>
      </c>
      <c r="I83" s="112">
        <f>F83+G83+H83</f>
        <v>0</v>
      </c>
      <c r="J83" s="113">
        <f>W83*$J$97/100</f>
        <v>11514.679887039913</v>
      </c>
      <c r="K83" s="112">
        <f>Q83*$K$97/100</f>
        <v>0</v>
      </c>
      <c r="L83" s="112">
        <f>Q83*$L$97/100</f>
        <v>0</v>
      </c>
      <c r="M83" s="112">
        <f>Q83*$M$97/100</f>
        <v>0</v>
      </c>
      <c r="N83" s="122">
        <v>140</v>
      </c>
      <c r="O83" s="122">
        <v>1100</v>
      </c>
      <c r="P83" s="122">
        <v>2009</v>
      </c>
      <c r="Q83" s="113">
        <f>X83*$Q$97/100</f>
        <v>0</v>
      </c>
      <c r="R83" s="112">
        <f>SUM(I83:P83)</f>
        <v>14763.679887039913</v>
      </c>
      <c r="T83" s="57">
        <v>0</v>
      </c>
      <c r="U83" s="57">
        <v>0</v>
      </c>
      <c r="V83" s="57">
        <v>0</v>
      </c>
      <c r="W83" s="57">
        <v>2670.64308176208</v>
      </c>
      <c r="X83" s="57">
        <v>0</v>
      </c>
      <c r="Y83" s="57">
        <v>2670.64308176208</v>
      </c>
    </row>
    <row r="84" spans="1:25" ht="14.25">
      <c r="A84" s="101">
        <v>3</v>
      </c>
      <c r="B84" s="101"/>
      <c r="C84" s="101" t="s">
        <v>78</v>
      </c>
      <c r="D84" s="112">
        <f aca="true" t="shared" si="11" ref="D84:J84">SUM(D80:D83)</f>
        <v>0</v>
      </c>
      <c r="E84" s="112">
        <f t="shared" si="11"/>
        <v>0</v>
      </c>
      <c r="F84" s="112">
        <f t="shared" si="11"/>
        <v>0</v>
      </c>
      <c r="G84" s="112">
        <f t="shared" si="11"/>
        <v>0</v>
      </c>
      <c r="H84" s="112">
        <f t="shared" si="11"/>
        <v>0</v>
      </c>
      <c r="I84" s="112">
        <f t="shared" si="11"/>
        <v>0</v>
      </c>
      <c r="J84" s="112">
        <f t="shared" si="11"/>
        <v>12560.446439961184</v>
      </c>
      <c r="K84" s="112">
        <v>264</v>
      </c>
      <c r="L84" s="112">
        <f aca="true" t="shared" si="12" ref="L84:R84">SUM(L80:L83)</f>
        <v>402.1357108447639</v>
      </c>
      <c r="M84" s="112">
        <f t="shared" si="12"/>
        <v>593.6289064851277</v>
      </c>
      <c r="N84" s="112">
        <f t="shared" si="12"/>
        <v>420</v>
      </c>
      <c r="O84" s="112">
        <f t="shared" si="12"/>
        <v>3098</v>
      </c>
      <c r="P84" s="112">
        <f t="shared" si="12"/>
        <v>6027</v>
      </c>
      <c r="Q84" s="112">
        <f t="shared" si="12"/>
        <v>1339.0178301229391</v>
      </c>
      <c r="R84" s="112">
        <f t="shared" si="12"/>
        <v>23364.514201296577</v>
      </c>
      <c r="T84" s="10">
        <v>0</v>
      </c>
      <c r="U84" s="10">
        <v>0</v>
      </c>
      <c r="V84" s="10">
        <v>0</v>
      </c>
      <c r="W84" s="10">
        <v>242.548576</v>
      </c>
      <c r="X84" s="10">
        <v>3794.3884</v>
      </c>
      <c r="Y84" s="10">
        <v>4036.936976</v>
      </c>
    </row>
    <row r="85" spans="1:25" ht="14.25">
      <c r="A85" s="101"/>
      <c r="B85" s="101"/>
      <c r="C85" s="101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T85" s="10"/>
      <c r="U85" s="10"/>
      <c r="V85" s="10"/>
      <c r="W85" s="10"/>
      <c r="X85" s="10"/>
      <c r="Y85" s="10"/>
    </row>
    <row r="86" spans="1:25" ht="14.25">
      <c r="A86" s="101"/>
      <c r="B86" s="101"/>
      <c r="C86" s="101" t="s">
        <v>393</v>
      </c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T86" s="6"/>
      <c r="U86" s="6"/>
      <c r="V86" s="6"/>
      <c r="W86" s="6"/>
      <c r="X86" s="6"/>
      <c r="Y86" s="6"/>
    </row>
    <row r="87" spans="1:25" ht="14.25">
      <c r="A87" s="101">
        <v>1</v>
      </c>
      <c r="B87" s="101">
        <v>36</v>
      </c>
      <c r="C87" s="117" t="s">
        <v>364</v>
      </c>
      <c r="D87" s="113">
        <v>2</v>
      </c>
      <c r="E87" s="113">
        <f>U87*$E$97/100</f>
        <v>0</v>
      </c>
      <c r="F87" s="112">
        <f>D87+E87</f>
        <v>2</v>
      </c>
      <c r="G87" s="112">
        <f>E87*$G$97/100</f>
        <v>0</v>
      </c>
      <c r="H87" s="112">
        <f>E87*$H$97/100</f>
        <v>0</v>
      </c>
      <c r="I87" s="112">
        <f>F87+G87+H87</f>
        <v>2</v>
      </c>
      <c r="J87" s="113">
        <f>W87*$J$97/100-1</f>
        <v>24.86945436252584</v>
      </c>
      <c r="K87" s="112">
        <f>Q87*$K$97/100</f>
        <v>131.6515720027501</v>
      </c>
      <c r="L87" s="112">
        <f>Q87*$L$97/100</f>
        <v>201.06785542238194</v>
      </c>
      <c r="M87" s="112">
        <f>Q87*$M$97/100</f>
        <v>296.81445324256384</v>
      </c>
      <c r="N87" s="122">
        <v>125</v>
      </c>
      <c r="O87" s="122">
        <v>1100</v>
      </c>
      <c r="P87" s="122">
        <v>2009</v>
      </c>
      <c r="Q87" s="113">
        <f>X87*$Q$97/100</f>
        <v>669.5089150614696</v>
      </c>
      <c r="R87" s="112">
        <f>SUM(I87:P87)</f>
        <v>3890.4033350302216</v>
      </c>
      <c r="T87" s="10">
        <v>1</v>
      </c>
      <c r="U87" s="10">
        <v>0</v>
      </c>
      <c r="V87" s="10">
        <v>1</v>
      </c>
      <c r="W87" s="10">
        <v>6</v>
      </c>
      <c r="X87" s="10">
        <v>1000</v>
      </c>
      <c r="Y87" s="10">
        <v>1007</v>
      </c>
    </row>
    <row r="88" spans="1:25" ht="14.25">
      <c r="A88" s="101"/>
      <c r="B88" s="101"/>
      <c r="C88" s="101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T88" s="10">
        <v>1</v>
      </c>
      <c r="U88" s="10">
        <v>0</v>
      </c>
      <c r="V88" s="10">
        <v>1</v>
      </c>
      <c r="W88" s="10">
        <v>6</v>
      </c>
      <c r="X88" s="10">
        <v>1000</v>
      </c>
      <c r="Y88" s="10">
        <v>1007</v>
      </c>
    </row>
    <row r="89" spans="1:25" ht="14.25">
      <c r="A89" s="101"/>
      <c r="B89" s="101"/>
      <c r="C89" s="101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T89" s="10"/>
      <c r="U89" s="10"/>
      <c r="V89" s="10"/>
      <c r="W89" s="10"/>
      <c r="X89" s="10"/>
      <c r="Y89" s="10"/>
    </row>
    <row r="90" spans="1:25" ht="14.25">
      <c r="A90" s="101">
        <v>1</v>
      </c>
      <c r="B90" s="101">
        <v>37</v>
      </c>
      <c r="C90" s="101" t="s">
        <v>394</v>
      </c>
      <c r="D90" s="113">
        <f>T90*$D$97/100</f>
        <v>0</v>
      </c>
      <c r="E90" s="113">
        <f>U90*$E$97/100</f>
        <v>0</v>
      </c>
      <c r="F90" s="112">
        <f>D90+E90</f>
        <v>0</v>
      </c>
      <c r="G90" s="112">
        <f>E90*$G$97/100</f>
        <v>0</v>
      </c>
      <c r="H90" s="112">
        <f>E90*$H$97/100</f>
        <v>0</v>
      </c>
      <c r="I90" s="112">
        <f>F90+G90+H90</f>
        <v>0</v>
      </c>
      <c r="J90" s="113">
        <f>W90*$J$97/100</f>
        <v>0</v>
      </c>
      <c r="K90" s="112">
        <f>Q90*$K$97/100</f>
        <v>47.39456592099003</v>
      </c>
      <c r="L90" s="112">
        <f>Q90*$L$97/100</f>
        <v>72.38442795205751</v>
      </c>
      <c r="M90" s="112">
        <f>Q90*$M$97/100+20</f>
        <v>126.85320316732297</v>
      </c>
      <c r="N90" s="122">
        <v>100</v>
      </c>
      <c r="O90" s="122">
        <v>999</v>
      </c>
      <c r="P90" s="122">
        <v>1833</v>
      </c>
      <c r="Q90" s="113">
        <f>X90*$Q$97/100</f>
        <v>241.02320942212904</v>
      </c>
      <c r="R90" s="112">
        <f>SUM(I90:P90)</f>
        <v>3178.63219704037</v>
      </c>
      <c r="T90" s="10">
        <v>0</v>
      </c>
      <c r="U90" s="10">
        <v>0</v>
      </c>
      <c r="V90" s="10">
        <v>0</v>
      </c>
      <c r="W90" s="10">
        <v>0</v>
      </c>
      <c r="X90" s="10">
        <v>360</v>
      </c>
      <c r="Y90" s="10">
        <v>360</v>
      </c>
    </row>
    <row r="91" spans="1:25" ht="14.25">
      <c r="A91" s="101"/>
      <c r="B91" s="101"/>
      <c r="C91" s="101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T91" s="10"/>
      <c r="U91" s="10"/>
      <c r="V91" s="10"/>
      <c r="W91" s="10"/>
      <c r="X91" s="10"/>
      <c r="Y91" s="10"/>
    </row>
    <row r="92" spans="1:25" ht="14.25">
      <c r="A92" s="101"/>
      <c r="B92" s="101"/>
      <c r="C92" s="101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T92" s="10"/>
      <c r="U92" s="10"/>
      <c r="V92" s="10"/>
      <c r="W92" s="10"/>
      <c r="X92" s="10"/>
      <c r="Y92" s="10"/>
    </row>
    <row r="93" spans="1:25" ht="14.25">
      <c r="A93" s="101">
        <v>37</v>
      </c>
      <c r="B93" s="101"/>
      <c r="C93" s="101" t="s">
        <v>395</v>
      </c>
      <c r="D93" s="112">
        <f>D14+D21+D23+D29+D34+D37+D42+D48+D53+D62+D69+D71+D75+D78+D84+D87+D90</f>
        <v>283918.06765993836</v>
      </c>
      <c r="E93" s="112">
        <f>E14+E21+E23+E29+E34+E37+E42+E48+E53+E62+E69+E71+E75+E78+E84+E87+E90</f>
        <v>508412.9793956188</v>
      </c>
      <c r="F93" s="112">
        <f>F14+F21+F23+F29+F34+F37+F42+F48+F53+F62+F69+F71+F75+F78+F84+F87+F90</f>
        <v>792331.0470555571</v>
      </c>
      <c r="G93" s="112">
        <f>G14+G21+G23+G29+G34+G37+G42+G48+G53+G62+G69+G71+G75+G78+G84+G87+G90</f>
        <v>61545.688923837646</v>
      </c>
      <c r="H93" s="112">
        <f>H14+H21+H23+H29+H34+H37+H42+H48+H53+H62+H69+H71+H75+H78+H84+H87+H90</f>
        <v>57646.474195362985</v>
      </c>
      <c r="I93" s="112">
        <f>I14+I21+I23+I29+I34+I37+I42+I48+I53+I62+I69+I71+I75+I78+I84+I87+I90+1</f>
        <v>911524.2101747576</v>
      </c>
      <c r="J93" s="112">
        <f aca="true" t="shared" si="13" ref="J93:Q93">J14+J21+J23+J29+J34+J37+J42+J48+J53+J62+J69+J71+J75+J78+J84+J87+J90</f>
        <v>455534.9122997747</v>
      </c>
      <c r="K93" s="112">
        <f t="shared" si="13"/>
        <v>330858.8889822581</v>
      </c>
      <c r="L93" s="112">
        <f t="shared" si="13"/>
        <v>505376.09802578145</v>
      </c>
      <c r="M93" s="112">
        <f t="shared" si="13"/>
        <v>746031.7161332966</v>
      </c>
      <c r="N93" s="112">
        <f t="shared" si="13"/>
        <v>6277</v>
      </c>
      <c r="O93" s="112">
        <f t="shared" si="13"/>
        <v>38800</v>
      </c>
      <c r="P93" s="112">
        <f t="shared" si="13"/>
        <v>80175</v>
      </c>
      <c r="Q93" s="112">
        <f t="shared" si="13"/>
        <v>1581276.2469848222</v>
      </c>
      <c r="R93" s="112">
        <f>R14+R21+R23+R29+R34+R37+R42+R48+R53+R62+R69+R71+R75+R78+R84+R87+R90+1</f>
        <v>3074576.5365314437</v>
      </c>
      <c r="T93" s="10">
        <v>315555.54616482</v>
      </c>
      <c r="U93" s="10">
        <v>571077.044195708</v>
      </c>
      <c r="V93" s="10">
        <v>886632.590360528</v>
      </c>
      <c r="W93" s="10">
        <v>105654.160134044</v>
      </c>
      <c r="X93" s="10">
        <v>2513639.25307321</v>
      </c>
      <c r="Y93" s="10">
        <v>3505926.00356778</v>
      </c>
    </row>
    <row r="94" spans="1:25" ht="14.25">
      <c r="A94" s="158"/>
      <c r="B94" s="158"/>
      <c r="C94" s="158"/>
      <c r="D94" s="177"/>
      <c r="E94" s="177"/>
      <c r="F94" s="177"/>
      <c r="G94" s="158"/>
      <c r="H94" s="158"/>
      <c r="I94" s="158"/>
      <c r="J94" s="177"/>
      <c r="K94" s="158"/>
      <c r="L94" s="158"/>
      <c r="M94" s="158"/>
      <c r="N94" s="158"/>
      <c r="O94" s="158"/>
      <c r="P94" s="158"/>
      <c r="Q94" s="177"/>
      <c r="R94" s="177"/>
      <c r="T94" s="6"/>
      <c r="U94" s="6"/>
      <c r="V94" s="6"/>
      <c r="W94" s="6"/>
      <c r="X94" s="6"/>
      <c r="Y94" s="6"/>
    </row>
    <row r="95" spans="1:25" s="12" customFormat="1" ht="14.25">
      <c r="A95" s="185"/>
      <c r="B95" s="185"/>
      <c r="C95" s="185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86"/>
      <c r="R95" s="186"/>
      <c r="T95" s="30">
        <v>315555.939476767</v>
      </c>
      <c r="U95" s="30">
        <v>571077.22351048</v>
      </c>
      <c r="V95" s="30">
        <v>886633.162987247</v>
      </c>
      <c r="W95" s="30">
        <v>105653.978078219</v>
      </c>
      <c r="X95" s="30">
        <v>2513639.32582374</v>
      </c>
      <c r="Y95" s="30">
        <v>3505926.46688921</v>
      </c>
    </row>
    <row r="96" spans="1:25" ht="14.25">
      <c r="A96" s="161"/>
      <c r="B96" s="161"/>
      <c r="C96" s="161"/>
      <c r="D96" s="167"/>
      <c r="E96" s="167"/>
      <c r="F96" s="167"/>
      <c r="G96" s="161"/>
      <c r="H96" s="161"/>
      <c r="I96" s="161"/>
      <c r="J96" s="167"/>
      <c r="K96" s="161"/>
      <c r="L96" s="161"/>
      <c r="M96" s="161"/>
      <c r="N96" s="161"/>
      <c r="O96" s="161"/>
      <c r="P96" s="161"/>
      <c r="Q96" s="167"/>
      <c r="R96" s="167"/>
      <c r="T96" s="6"/>
      <c r="U96" s="6"/>
      <c r="V96" s="6"/>
      <c r="W96" s="6"/>
      <c r="X96" s="6"/>
      <c r="Y96" s="6"/>
    </row>
    <row r="97" spans="1:25" ht="14.25">
      <c r="A97" s="161"/>
      <c r="B97" s="161"/>
      <c r="C97" s="161"/>
      <c r="D97" s="178"/>
      <c r="E97" s="178"/>
      <c r="F97" s="178"/>
      <c r="G97" s="165"/>
      <c r="H97" s="165"/>
      <c r="I97" s="165"/>
      <c r="J97" s="178"/>
      <c r="K97" s="165"/>
      <c r="L97" s="165"/>
      <c r="M97" s="165"/>
      <c r="N97" s="165"/>
      <c r="O97" s="165"/>
      <c r="P97" s="165"/>
      <c r="Q97" s="178"/>
      <c r="R97" s="178"/>
      <c r="T97" s="45">
        <v>123.288600258945</v>
      </c>
      <c r="U97" s="45">
        <v>130.109341660682</v>
      </c>
      <c r="V97" s="45">
        <v>126.449306448045</v>
      </c>
      <c r="W97" s="45">
        <v>109.044161045111</v>
      </c>
      <c r="X97" s="45">
        <v>132.875233494002</v>
      </c>
      <c r="Y97" s="45">
        <v>127.524546566883</v>
      </c>
    </row>
    <row r="98" spans="1:25" ht="14.25">
      <c r="A98" s="161"/>
      <c r="B98" s="161"/>
      <c r="C98" s="161"/>
      <c r="D98" s="167"/>
      <c r="E98" s="167"/>
      <c r="F98" s="167"/>
      <c r="G98" s="161"/>
      <c r="H98" s="161"/>
      <c r="I98" s="161"/>
      <c r="J98" s="167"/>
      <c r="K98" s="161"/>
      <c r="L98" s="161"/>
      <c r="M98" s="161"/>
      <c r="N98" s="161"/>
      <c r="O98" s="161"/>
      <c r="P98" s="161"/>
      <c r="Q98" s="167"/>
      <c r="R98" s="167"/>
      <c r="T98" s="6"/>
      <c r="U98" s="6"/>
      <c r="V98" s="6"/>
      <c r="W98" s="6"/>
      <c r="X98" s="6"/>
      <c r="Y98" s="6"/>
    </row>
    <row r="99" spans="1:25" ht="14.25">
      <c r="A99" s="161"/>
      <c r="B99" s="161"/>
      <c r="C99" s="161"/>
      <c r="D99" s="168"/>
      <c r="E99" s="168"/>
      <c r="F99" s="168"/>
      <c r="G99" s="166"/>
      <c r="H99" s="166"/>
      <c r="I99" s="166"/>
      <c r="J99" s="168"/>
      <c r="K99" s="166"/>
      <c r="L99" s="166"/>
      <c r="M99" s="166"/>
      <c r="N99" s="166"/>
      <c r="O99" s="166"/>
      <c r="P99" s="166"/>
      <c r="Q99" s="168"/>
      <c r="R99" s="168"/>
      <c r="T99" s="10">
        <v>-0.393311947176699</v>
      </c>
      <c r="U99" s="10">
        <v>-0.179314771550708</v>
      </c>
      <c r="V99" s="10">
        <v>0.427373281330802</v>
      </c>
      <c r="W99" s="10">
        <v>0.182055825222051</v>
      </c>
      <c r="X99" s="10">
        <v>-0.0727505357936025</v>
      </c>
      <c r="Y99" s="10">
        <v>-0.463321429677308</v>
      </c>
    </row>
    <row r="100" spans="1:18" ht="14.25">
      <c r="A100" s="163"/>
      <c r="B100" s="163"/>
      <c r="C100" s="163"/>
      <c r="D100" s="167"/>
      <c r="E100" s="167"/>
      <c r="F100" s="167"/>
      <c r="G100" s="163"/>
      <c r="H100" s="163"/>
      <c r="I100" s="163"/>
      <c r="J100" s="167"/>
      <c r="K100" s="163"/>
      <c r="L100" s="163"/>
      <c r="M100" s="163"/>
      <c r="N100" s="163"/>
      <c r="O100" s="163"/>
      <c r="P100" s="163"/>
      <c r="Q100" s="167"/>
      <c r="R100" s="167"/>
    </row>
    <row r="101" spans="1:18" s="11" customFormat="1" ht="14.25">
      <c r="A101" s="179"/>
      <c r="B101" s="179"/>
      <c r="C101" s="179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</row>
    <row r="102" spans="1:18" ht="14.25">
      <c r="A102" s="163"/>
      <c r="B102" s="163"/>
      <c r="C102" s="163"/>
      <c r="D102" s="167"/>
      <c r="E102" s="167"/>
      <c r="F102" s="167"/>
      <c r="G102" s="163"/>
      <c r="H102" s="163"/>
      <c r="I102" s="163"/>
      <c r="J102" s="167"/>
      <c r="K102" s="163"/>
      <c r="L102" s="163"/>
      <c r="M102" s="163"/>
      <c r="N102" s="163"/>
      <c r="O102" s="163"/>
      <c r="P102" s="163"/>
      <c r="Q102" s="167"/>
      <c r="R102" s="167"/>
    </row>
    <row r="103" spans="1:19" ht="18">
      <c r="A103" s="163"/>
      <c r="B103" s="163"/>
      <c r="C103" s="163"/>
      <c r="D103" s="181"/>
      <c r="E103" s="181"/>
      <c r="F103" s="182"/>
      <c r="G103" s="181"/>
      <c r="H103" s="181"/>
      <c r="I103" s="182"/>
      <c r="J103" s="181"/>
      <c r="K103" s="182"/>
      <c r="L103" s="182"/>
      <c r="M103" s="182"/>
      <c r="N103" s="183"/>
      <c r="O103" s="183"/>
      <c r="P103" s="183"/>
      <c r="Q103" s="181"/>
      <c r="R103" s="182"/>
      <c r="S103" s="176"/>
    </row>
    <row r="104" spans="1:18" ht="14.25">
      <c r="A104" s="163"/>
      <c r="B104" s="163"/>
      <c r="C104" s="163"/>
      <c r="D104" s="167"/>
      <c r="E104" s="167"/>
      <c r="F104" s="167"/>
      <c r="G104" s="163"/>
      <c r="H104" s="163"/>
      <c r="I104" s="163"/>
      <c r="J104" s="167"/>
      <c r="K104" s="163"/>
      <c r="L104" s="163"/>
      <c r="M104" s="163"/>
      <c r="N104" s="166"/>
      <c r="O104" s="166"/>
      <c r="P104" s="166"/>
      <c r="Q104" s="167"/>
      <c r="R104" s="167"/>
    </row>
    <row r="105" spans="1:18" ht="14.25">
      <c r="A105" s="163"/>
      <c r="B105" s="163"/>
      <c r="C105" s="163"/>
      <c r="D105" s="167"/>
      <c r="E105" s="167"/>
      <c r="F105" s="167"/>
      <c r="G105" s="163"/>
      <c r="H105" s="163"/>
      <c r="I105" s="163"/>
      <c r="J105" s="167"/>
      <c r="K105" s="163"/>
      <c r="L105" s="163"/>
      <c r="M105" s="163"/>
      <c r="N105" s="163"/>
      <c r="O105" s="163"/>
      <c r="P105" s="163"/>
      <c r="Q105" s="167"/>
      <c r="R105" s="167"/>
    </row>
    <row r="106" spans="1:18" ht="14.25">
      <c r="A106" s="163"/>
      <c r="B106" s="163"/>
      <c r="C106" s="163"/>
      <c r="D106" s="167"/>
      <c r="E106" s="167"/>
      <c r="F106" s="167"/>
      <c r="G106" s="163"/>
      <c r="H106" s="163"/>
      <c r="I106" s="163"/>
      <c r="J106" s="167"/>
      <c r="K106" s="163"/>
      <c r="L106" s="163"/>
      <c r="M106" s="163"/>
      <c r="N106" s="163"/>
      <c r="O106" s="163"/>
      <c r="P106" s="163"/>
      <c r="Q106" s="167"/>
      <c r="R106" s="167"/>
    </row>
    <row r="107" spans="1:18" ht="14.25">
      <c r="A107" s="163"/>
      <c r="B107" s="163"/>
      <c r="C107" s="163"/>
      <c r="D107" s="167"/>
      <c r="E107" s="167"/>
      <c r="F107" s="167"/>
      <c r="G107" s="163"/>
      <c r="H107" s="163"/>
      <c r="I107" s="184"/>
      <c r="J107" s="167"/>
      <c r="K107" s="163"/>
      <c r="L107" s="163"/>
      <c r="M107" s="163"/>
      <c r="N107" s="163"/>
      <c r="O107" s="163"/>
      <c r="P107" s="163"/>
      <c r="Q107" s="167"/>
      <c r="R107" s="167"/>
    </row>
    <row r="108" spans="1:18" ht="14.25">
      <c r="A108" s="163"/>
      <c r="B108" s="163"/>
      <c r="C108" s="163"/>
      <c r="D108" s="167"/>
      <c r="E108" s="167"/>
      <c r="F108" s="167"/>
      <c r="G108" s="163"/>
      <c r="H108" s="163"/>
      <c r="I108" s="163"/>
      <c r="J108" s="167"/>
      <c r="K108" s="163"/>
      <c r="L108" s="163"/>
      <c r="M108" s="163"/>
      <c r="N108" s="163"/>
      <c r="O108" s="163"/>
      <c r="P108" s="163"/>
      <c r="Q108" s="167"/>
      <c r="R108" s="167"/>
    </row>
  </sheetData>
  <sheetProtection selectLockedCells="1" selectUnlockedCells="1"/>
  <printOptions/>
  <pageMargins left="1.25" right="0" top="0.394444444444444" bottom="0.394444444444444" header="0" footer="0"/>
  <pageSetup firstPageNumber="1" useFirstPageNumber="1" horizontalDpi="300" verticalDpi="300" orientation="landscape" pageOrder="overThenDown" paperSize="9" scale="64" r:id="rId1"/>
  <headerFooter alignWithMargins="0">
    <oddHeader>&amp;C&amp;A</oddHeader>
    <oddFooter>&amp;CPage &amp;P</oddFooter>
  </headerFooter>
  <rowBreaks count="1" manualBreakCount="1">
    <brk id="55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Y77"/>
  <sheetViews>
    <sheetView view="pageBreakPreview" zoomScale="60" zoomScaleNormal="85" zoomScalePageLayoutView="0" workbookViewId="0" topLeftCell="A1">
      <pane xSplit="3" ySplit="7" topLeftCell="D41" activePane="bottomRight" state="frozen"/>
      <selection pane="topLeft" activeCell="A1" sqref="A1"/>
      <selection pane="topRight" activeCell="H1" sqref="H1"/>
      <selection pane="bottomLeft" activeCell="A41" sqref="A41"/>
      <selection pane="bottomRight" activeCell="Q81" sqref="Q81:Q82"/>
    </sheetView>
  </sheetViews>
  <sheetFormatPr defaultColWidth="9.00390625" defaultRowHeight="14.25"/>
  <cols>
    <col min="1" max="1" width="5.25390625" style="0" customWidth="1"/>
    <col min="2" max="2" width="5.75390625" style="0" customWidth="1"/>
    <col min="3" max="3" width="15.625" style="0" customWidth="1"/>
    <col min="4" max="4" width="8.75390625" style="12" customWidth="1"/>
    <col min="5" max="6" width="10.75390625" style="12" customWidth="1"/>
    <col min="7" max="9" width="10.75390625" style="0" customWidth="1"/>
    <col min="10" max="10" width="10.75390625" style="12" customWidth="1"/>
    <col min="11" max="16" width="10.75390625" style="0" customWidth="1"/>
    <col min="17" max="18" width="10.75390625" style="12" customWidth="1"/>
    <col min="19" max="19" width="2.75390625" style="1" customWidth="1"/>
    <col min="20" max="20" width="8.75390625" style="2" customWidth="1"/>
    <col min="21" max="25" width="10.75390625" style="2" customWidth="1"/>
  </cols>
  <sheetData>
    <row r="1" spans="1:25" ht="18">
      <c r="A1" s="101"/>
      <c r="B1" s="101"/>
      <c r="C1" s="101"/>
      <c r="D1" s="98" t="s">
        <v>51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 t="s">
        <v>396</v>
      </c>
      <c r="T1" s="45" t="s">
        <v>205</v>
      </c>
      <c r="U1" s="45"/>
      <c r="V1" s="45"/>
      <c r="W1" s="45"/>
      <c r="X1" s="45"/>
      <c r="Y1" s="45" t="s">
        <v>396</v>
      </c>
    </row>
    <row r="2" spans="1:25" ht="14.25">
      <c r="A2" s="101"/>
      <c r="B2" s="101"/>
      <c r="C2" s="101"/>
      <c r="D2" s="126"/>
      <c r="E2" s="126" t="s">
        <v>48</v>
      </c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T2" s="45"/>
      <c r="U2" s="45" t="s">
        <v>48</v>
      </c>
      <c r="V2" s="45"/>
      <c r="W2" s="45"/>
      <c r="X2" s="45"/>
      <c r="Y2" s="45"/>
    </row>
    <row r="3" spans="1:25" ht="14.25">
      <c r="A3" s="101"/>
      <c r="B3" s="101"/>
      <c r="C3" s="101" t="s">
        <v>397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T3" s="45"/>
      <c r="U3" s="45"/>
      <c r="V3" s="45"/>
      <c r="W3" s="45"/>
      <c r="X3" s="45"/>
      <c r="Y3" s="45"/>
    </row>
    <row r="4" spans="1:25" ht="14.25">
      <c r="A4" s="101"/>
      <c r="B4" s="101"/>
      <c r="C4" s="101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T4" s="45"/>
      <c r="U4" s="45"/>
      <c r="V4" s="45"/>
      <c r="W4" s="45"/>
      <c r="X4" s="45"/>
      <c r="Y4" s="45"/>
    </row>
    <row r="5" spans="1:25" ht="54">
      <c r="A5" s="101"/>
      <c r="B5" s="117" t="s">
        <v>54</v>
      </c>
      <c r="C5" s="101" t="s">
        <v>55</v>
      </c>
      <c r="D5" s="126" t="s">
        <v>3</v>
      </c>
      <c r="E5" s="132" t="s">
        <v>4</v>
      </c>
      <c r="F5" s="126" t="s">
        <v>5</v>
      </c>
      <c r="G5" s="133" t="s">
        <v>6</v>
      </c>
      <c r="H5" s="133" t="s">
        <v>7</v>
      </c>
      <c r="I5" s="133" t="s">
        <v>8</v>
      </c>
      <c r="J5" s="133" t="s">
        <v>9</v>
      </c>
      <c r="K5" s="133" t="s">
        <v>10</v>
      </c>
      <c r="L5" s="133" t="s">
        <v>11</v>
      </c>
      <c r="M5" s="133" t="s">
        <v>12</v>
      </c>
      <c r="N5" s="133" t="s">
        <v>13</v>
      </c>
      <c r="O5" s="133" t="s">
        <v>14</v>
      </c>
      <c r="P5" s="133" t="s">
        <v>15</v>
      </c>
      <c r="Q5" s="126" t="s">
        <v>16</v>
      </c>
      <c r="R5" s="126" t="s">
        <v>17</v>
      </c>
      <c r="T5" s="45" t="s">
        <v>3</v>
      </c>
      <c r="U5" s="48" t="s">
        <v>4</v>
      </c>
      <c r="V5" s="45" t="s">
        <v>5</v>
      </c>
      <c r="W5" s="45" t="s">
        <v>18</v>
      </c>
      <c r="X5" s="45" t="s">
        <v>16</v>
      </c>
      <c r="Y5" s="45" t="s">
        <v>17</v>
      </c>
    </row>
    <row r="6" spans="1:25" ht="14.25">
      <c r="A6" s="101"/>
      <c r="B6" s="101" t="s">
        <v>56</v>
      </c>
      <c r="C6" s="101" t="s">
        <v>57</v>
      </c>
      <c r="D6" s="126" t="s">
        <v>19</v>
      </c>
      <c r="E6" s="126" t="s">
        <v>19</v>
      </c>
      <c r="F6" s="126" t="s">
        <v>19</v>
      </c>
      <c r="G6" s="126"/>
      <c r="H6" s="126"/>
      <c r="I6" s="126"/>
      <c r="J6" s="126" t="s">
        <v>20</v>
      </c>
      <c r="K6" s="126"/>
      <c r="L6" s="126"/>
      <c r="M6" s="126"/>
      <c r="N6" s="126"/>
      <c r="O6" s="126"/>
      <c r="P6" s="126"/>
      <c r="Q6" s="126" t="s">
        <v>21</v>
      </c>
      <c r="R6" s="126"/>
      <c r="T6" s="45" t="s">
        <v>19</v>
      </c>
      <c r="U6" s="45" t="s">
        <v>19</v>
      </c>
      <c r="V6" s="45" t="s">
        <v>19</v>
      </c>
      <c r="W6" s="45" t="s">
        <v>20</v>
      </c>
      <c r="X6" s="45" t="s">
        <v>21</v>
      </c>
      <c r="Y6" s="45"/>
    </row>
    <row r="7" spans="1:25" ht="14.25">
      <c r="A7" s="101"/>
      <c r="B7" s="101"/>
      <c r="C7" s="101"/>
      <c r="D7" s="101" t="s">
        <v>22</v>
      </c>
      <c r="E7" s="101" t="s">
        <v>22</v>
      </c>
      <c r="F7" s="101" t="s">
        <v>22</v>
      </c>
      <c r="G7" s="101" t="s">
        <v>22</v>
      </c>
      <c r="H7" s="101" t="s">
        <v>22</v>
      </c>
      <c r="I7" s="101" t="s">
        <v>22</v>
      </c>
      <c r="J7" s="101" t="s">
        <v>22</v>
      </c>
      <c r="K7" s="101" t="s">
        <v>22</v>
      </c>
      <c r="L7" s="101" t="s">
        <v>22</v>
      </c>
      <c r="M7" s="101" t="s">
        <v>22</v>
      </c>
      <c r="N7" s="101" t="s">
        <v>22</v>
      </c>
      <c r="O7" s="101" t="s">
        <v>22</v>
      </c>
      <c r="P7" s="101" t="s">
        <v>22</v>
      </c>
      <c r="Q7" s="101" t="s">
        <v>22</v>
      </c>
      <c r="R7" s="101" t="s">
        <v>22</v>
      </c>
      <c r="T7" s="45" t="s">
        <v>23</v>
      </c>
      <c r="U7" s="45" t="s">
        <v>23</v>
      </c>
      <c r="V7" s="45" t="s">
        <v>23</v>
      </c>
      <c r="W7" s="45" t="s">
        <v>23</v>
      </c>
      <c r="X7" s="45" t="s">
        <v>23</v>
      </c>
      <c r="Y7" s="45" t="s">
        <v>23</v>
      </c>
    </row>
    <row r="8" spans="1:25" ht="14.25">
      <c r="A8" s="101"/>
      <c r="B8" s="101"/>
      <c r="C8" s="101" t="s">
        <v>59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T8" s="6"/>
      <c r="U8" s="6"/>
      <c r="V8" s="6"/>
      <c r="W8" s="6"/>
      <c r="X8" s="6"/>
      <c r="Y8" s="6"/>
    </row>
    <row r="9" spans="1:25" ht="14.25">
      <c r="A9" s="101"/>
      <c r="B9" s="101">
        <v>1</v>
      </c>
      <c r="C9" s="117" t="s">
        <v>398</v>
      </c>
      <c r="D9" s="113">
        <f>T9*$D$72/100-100</f>
        <v>22536.89684661263</v>
      </c>
      <c r="E9" s="113">
        <f>U9*$E$72/100</f>
        <v>6261.265986050486</v>
      </c>
      <c r="F9" s="112">
        <f>D9+E9</f>
        <v>28798.162832663118</v>
      </c>
      <c r="G9" s="112">
        <f>E9*$G$72/100</f>
        <v>757.9052840881212</v>
      </c>
      <c r="H9" s="112">
        <f>E9*$H$72/100</f>
        <v>709.8852264949263</v>
      </c>
      <c r="I9" s="112">
        <f>F9+G9+H9</f>
        <v>30265.953343246165</v>
      </c>
      <c r="J9" s="112">
        <f>W9*$J$72/100</f>
        <v>28719.68095507692</v>
      </c>
      <c r="K9" s="112">
        <f>Q9*$K$72/100-2000</f>
        <v>8385.613431424606</v>
      </c>
      <c r="L9" s="112">
        <f>Q9*$L$72/100</f>
        <v>15861.664149812124</v>
      </c>
      <c r="M9" s="112">
        <f>Q9*$M$72/100</f>
        <v>23414.837554484562</v>
      </c>
      <c r="N9" s="112">
        <v>232</v>
      </c>
      <c r="O9" s="134">
        <v>1437</v>
      </c>
      <c r="P9" s="134">
        <v>2969</v>
      </c>
      <c r="Q9" s="112">
        <f aca="true" t="shared" si="0" ref="Q9:Q14">X9*$Q$72/100</f>
        <v>52815.63049300821</v>
      </c>
      <c r="R9" s="112">
        <f aca="true" t="shared" si="1" ref="R9:R14">SUM(I9:P9)</f>
        <v>111285.74943404438</v>
      </c>
      <c r="T9" s="10">
        <v>25150.5333716017</v>
      </c>
      <c r="U9" s="10">
        <v>7034.31568904323</v>
      </c>
      <c r="V9" s="10">
        <v>32184.8490606449</v>
      </c>
      <c r="W9" s="10">
        <v>6661.06379035498</v>
      </c>
      <c r="X9" s="10">
        <v>78888.1710127083</v>
      </c>
      <c r="Y9" s="10">
        <v>117734.083863708</v>
      </c>
    </row>
    <row r="10" spans="1:25" ht="14.25">
      <c r="A10" s="101"/>
      <c r="B10" s="101">
        <v>5</v>
      </c>
      <c r="C10" s="117" t="s">
        <v>399</v>
      </c>
      <c r="D10" s="113">
        <f>T10*$D$72/100</f>
        <v>19138.855616919103</v>
      </c>
      <c r="E10" s="113">
        <f>U10*$E$72/100</f>
        <v>5374.344432335106</v>
      </c>
      <c r="F10" s="112">
        <f>D10+E10</f>
        <v>24513.20004925421</v>
      </c>
      <c r="G10" s="112">
        <f>E10*$G$72/100</f>
        <v>650.5463995382336</v>
      </c>
      <c r="H10" s="112">
        <f>E10*$H$72/100</f>
        <v>609.3284845444657</v>
      </c>
      <c r="I10" s="112">
        <f>F10+G10+H10</f>
        <v>25773.07493333691</v>
      </c>
      <c r="J10" s="112">
        <f>W10*$J$72/100</f>
        <v>1358.7322266707124</v>
      </c>
      <c r="K10" s="112">
        <f>Q10*$K$72/100-500</f>
        <v>2930.3122781163097</v>
      </c>
      <c r="L10" s="112">
        <f>Q10*$L$72/100</f>
        <v>5239.022388395819</v>
      </c>
      <c r="M10" s="112">
        <f>Q10*$M$72/100</f>
        <v>7733.794954298591</v>
      </c>
      <c r="N10" s="112">
        <v>232</v>
      </c>
      <c r="O10" s="134">
        <v>1437</v>
      </c>
      <c r="P10" s="134">
        <v>2969</v>
      </c>
      <c r="Q10" s="112">
        <f t="shared" si="0"/>
        <v>17444.718788437363</v>
      </c>
      <c r="R10" s="112">
        <f t="shared" si="1"/>
        <v>47672.936780818345</v>
      </c>
      <c r="T10" s="10">
        <v>21264.064158141</v>
      </c>
      <c r="U10" s="10">
        <v>6037.89001184786</v>
      </c>
      <c r="V10" s="10">
        <v>27301.9541699889</v>
      </c>
      <c r="W10" s="10">
        <v>315.135883647926</v>
      </c>
      <c r="X10" s="10">
        <v>26056.3387429983</v>
      </c>
      <c r="Y10" s="10">
        <v>53673.4287966352</v>
      </c>
    </row>
    <row r="11" spans="1:25" ht="14.25">
      <c r="A11" s="101"/>
      <c r="B11" s="101">
        <v>6</v>
      </c>
      <c r="C11" s="117" t="s">
        <v>400</v>
      </c>
      <c r="D11" s="113">
        <f>T11*$D$72/100</f>
        <v>0</v>
      </c>
      <c r="E11" s="113">
        <f>U11*$E$72/100</f>
        <v>882.3257915179852</v>
      </c>
      <c r="F11" s="112">
        <f>D11+E11</f>
        <v>882.3257915179852</v>
      </c>
      <c r="G11" s="112">
        <f>E11*$G$72/100</f>
        <v>106.8025829230956</v>
      </c>
      <c r="H11" s="112">
        <f>E11*$H$72/100</f>
        <v>100.03568699197722</v>
      </c>
      <c r="I11" s="112">
        <f>F11+G11+H11</f>
        <v>1089.164061433058</v>
      </c>
      <c r="J11" s="112">
        <f>W11*$J$72/100</f>
        <v>575.7339943519958</v>
      </c>
      <c r="K11" s="112">
        <f>Q11*$K$72/100-500</f>
        <v>2791.287783241878</v>
      </c>
      <c r="L11" s="112">
        <f>Q11*$L$72/100</f>
        <v>5026.694068951232</v>
      </c>
      <c r="M11" s="112">
        <f>Q11*$M$72/100</f>
        <v>7420.357911308961</v>
      </c>
      <c r="N11" s="112">
        <v>232</v>
      </c>
      <c r="O11" s="134">
        <v>1437</v>
      </c>
      <c r="P11" s="134">
        <v>2969</v>
      </c>
      <c r="Q11" s="112">
        <f t="shared" si="0"/>
        <v>16737.715162773056</v>
      </c>
      <c r="R11" s="112">
        <f t="shared" si="1"/>
        <v>21541.237819287126</v>
      </c>
      <c r="T11" s="10">
        <v>0</v>
      </c>
      <c r="U11" s="10">
        <v>991.262497384727</v>
      </c>
      <c r="V11" s="10">
        <v>991.262497384727</v>
      </c>
      <c r="W11" s="10">
        <v>133.532154088104</v>
      </c>
      <c r="X11" s="10">
        <v>25000.3213783018</v>
      </c>
      <c r="Y11" s="10">
        <v>26125.1160297746</v>
      </c>
    </row>
    <row r="12" spans="1:25" ht="14.25">
      <c r="A12" s="101"/>
      <c r="B12" s="101">
        <v>7</v>
      </c>
      <c r="C12" s="101" t="s">
        <v>401</v>
      </c>
      <c r="D12" s="113">
        <f>T12*$D$72/100</f>
        <v>0</v>
      </c>
      <c r="E12" s="113">
        <f>U12*$E$72/100</f>
        <v>0</v>
      </c>
      <c r="F12" s="112">
        <f>D12+E12</f>
        <v>0</v>
      </c>
      <c r="G12" s="112">
        <f>E12*$G$72/100</f>
        <v>0</v>
      </c>
      <c r="H12" s="112">
        <f>E12*$H$72/100</f>
        <v>0</v>
      </c>
      <c r="I12" s="112">
        <f>F12+G12+H12</f>
        <v>0</v>
      </c>
      <c r="J12" s="112">
        <f>W12*$J$72/100</f>
        <v>0</v>
      </c>
      <c r="K12" s="112">
        <f>Q12*$K$72/100</f>
        <v>421.01612101446096</v>
      </c>
      <c r="L12" s="112">
        <f>Q12*$L$72/100</f>
        <v>643.0064393675403</v>
      </c>
      <c r="M12" s="112">
        <f>Q12*$M$72/100</f>
        <v>949.1999819235119</v>
      </c>
      <c r="N12" s="112">
        <v>232</v>
      </c>
      <c r="O12" s="134">
        <v>1437</v>
      </c>
      <c r="P12" s="134">
        <v>2969</v>
      </c>
      <c r="Q12" s="112">
        <f t="shared" si="0"/>
        <v>2141.061</v>
      </c>
      <c r="R12" s="112">
        <f t="shared" si="1"/>
        <v>6651.222542305512</v>
      </c>
      <c r="T12" s="10">
        <v>0</v>
      </c>
      <c r="U12" s="10">
        <v>0</v>
      </c>
      <c r="V12" s="10">
        <v>0</v>
      </c>
      <c r="W12" s="10">
        <v>0</v>
      </c>
      <c r="X12" s="10">
        <v>3198</v>
      </c>
      <c r="Y12" s="10">
        <v>3198</v>
      </c>
    </row>
    <row r="13" spans="1:25" ht="14.25">
      <c r="A13" s="101">
        <v>3</v>
      </c>
      <c r="B13" s="101">
        <v>8</v>
      </c>
      <c r="C13" s="117" t="s">
        <v>402</v>
      </c>
      <c r="D13" s="113">
        <f>T13*$D$72/100</f>
        <v>37313.98610530902</v>
      </c>
      <c r="E13" s="113">
        <f>U13*$E$72/100</f>
        <v>0</v>
      </c>
      <c r="F13" s="112">
        <f>D13+E13</f>
        <v>37313.98610530902</v>
      </c>
      <c r="G13" s="112">
        <f>E13*$G$72/100</f>
        <v>0</v>
      </c>
      <c r="H13" s="112">
        <f>E13*$H$72/100</f>
        <v>0</v>
      </c>
      <c r="I13" s="112">
        <f>F13+G13+H13</f>
        <v>37313.98610530902</v>
      </c>
      <c r="J13" s="112">
        <f>W13*$J$72/100</f>
        <v>0</v>
      </c>
      <c r="K13" s="112">
        <f>Q13*$K$72/100</f>
        <v>658.249094769326</v>
      </c>
      <c r="L13" s="112">
        <f>Q13*$L$72/100</f>
        <v>1005.3258901931524</v>
      </c>
      <c r="M13" s="112">
        <f>Q13*$M$72/100</f>
        <v>1484.0525045708441</v>
      </c>
      <c r="N13" s="112">
        <v>232</v>
      </c>
      <c r="O13" s="134">
        <v>1437</v>
      </c>
      <c r="P13" s="135">
        <f>2969+12</f>
        <v>2981</v>
      </c>
      <c r="Q13" s="112">
        <f t="shared" si="0"/>
        <v>3347.5</v>
      </c>
      <c r="R13" s="112">
        <f t="shared" si="1"/>
        <v>45111.61359484235</v>
      </c>
      <c r="T13" s="10">
        <v>41457.3896381689</v>
      </c>
      <c r="U13" s="10">
        <v>0</v>
      </c>
      <c r="V13" s="10">
        <v>41457.3896381689</v>
      </c>
      <c r="W13" s="10">
        <v>0</v>
      </c>
      <c r="X13" s="10">
        <v>5000</v>
      </c>
      <c r="Y13" s="10">
        <v>46457.3896381689</v>
      </c>
    </row>
    <row r="14" spans="1:25" ht="14.25">
      <c r="A14" s="101">
        <v>5</v>
      </c>
      <c r="B14" s="101"/>
      <c r="C14" s="101" t="s">
        <v>78</v>
      </c>
      <c r="D14" s="112">
        <f aca="true" t="shared" si="2" ref="D14:J14">SUM(D9:D13)</f>
        <v>78989.73856884075</v>
      </c>
      <c r="E14" s="112">
        <f t="shared" si="2"/>
        <v>12517.936209903577</v>
      </c>
      <c r="F14" s="112">
        <f t="shared" si="2"/>
        <v>91507.67477874433</v>
      </c>
      <c r="G14" s="112">
        <f t="shared" si="2"/>
        <v>1515.2542665494502</v>
      </c>
      <c r="H14" s="112">
        <f t="shared" si="2"/>
        <v>1419.2493980313693</v>
      </c>
      <c r="I14" s="112">
        <f t="shared" si="2"/>
        <v>94442.17844332515</v>
      </c>
      <c r="J14" s="112">
        <f t="shared" si="2"/>
        <v>30654.14717609963</v>
      </c>
      <c r="K14" s="112">
        <f>Q14*$K$72/100</f>
        <v>27602.45123256442</v>
      </c>
      <c r="L14" s="112">
        <f>SUM(L9:L13)</f>
        <v>27775.71293671987</v>
      </c>
      <c r="M14" s="112">
        <f>SUM(M9:M13)</f>
        <v>41002.24290658647</v>
      </c>
      <c r="N14" s="112">
        <f>SUM(N9:N13)</f>
        <v>1160</v>
      </c>
      <c r="O14" s="112">
        <f>SUM(O9:O13)</f>
        <v>7185</v>
      </c>
      <c r="P14" s="112">
        <f>SUM(P9:P13)</f>
        <v>14857</v>
      </c>
      <c r="Q14" s="112">
        <f t="shared" si="0"/>
        <v>140371.18506541871</v>
      </c>
      <c r="R14" s="112">
        <f t="shared" si="1"/>
        <v>244678.73269529553</v>
      </c>
      <c r="T14" s="10">
        <v>91187.2964762232</v>
      </c>
      <c r="U14" s="10">
        <v>21601.4687894992</v>
      </c>
      <c r="V14" s="10">
        <v>112787.765265722</v>
      </c>
      <c r="W14" s="10">
        <v>8445.05336897205</v>
      </c>
      <c r="X14" s="10">
        <v>209665.698380013</v>
      </c>
      <c r="Y14" s="10">
        <v>330898.517014708</v>
      </c>
    </row>
    <row r="15" spans="1:25" ht="14.25">
      <c r="A15" s="101"/>
      <c r="B15" s="101"/>
      <c r="C15" s="101"/>
      <c r="D15" s="112"/>
      <c r="E15" s="113">
        <f>U15*$E$72/100</f>
        <v>0</v>
      </c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T15" s="10"/>
      <c r="U15" s="10"/>
      <c r="V15" s="10"/>
      <c r="W15" s="10"/>
      <c r="X15" s="10"/>
      <c r="Y15" s="10"/>
    </row>
    <row r="16" spans="1:25" ht="14.25">
      <c r="A16" s="101"/>
      <c r="B16" s="101">
        <v>4</v>
      </c>
      <c r="C16" s="117" t="s">
        <v>403</v>
      </c>
      <c r="D16" s="113">
        <f>T16*$D$72/100</f>
        <v>2562.6675675410497</v>
      </c>
      <c r="E16" s="113">
        <f>U16*$E$72/100</f>
        <v>4803.77375382014</v>
      </c>
      <c r="F16" s="112">
        <f>D16+E16</f>
        <v>7366.44132136119</v>
      </c>
      <c r="G16" s="112">
        <f>E16*$G$72/100</f>
        <v>581.4807292479647</v>
      </c>
      <c r="H16" s="112">
        <f>E16*$H$72/100</f>
        <v>544.6387402896536</v>
      </c>
      <c r="I16" s="112">
        <f>F16+G16+H16</f>
        <v>8492.560790898808</v>
      </c>
      <c r="J16" s="112">
        <f>W16*$J$72/100</f>
        <v>5757.339943519956</v>
      </c>
      <c r="K16" s="112">
        <f>Q16*$K$72/100</f>
        <v>6941.234904312631</v>
      </c>
      <c r="L16" s="112">
        <f>Q16*$L$72/100</f>
        <v>10601.1587629502</v>
      </c>
      <c r="M16" s="112">
        <f>Q16*$M$72/100</f>
        <v>15649.329602450296</v>
      </c>
      <c r="N16" s="112">
        <v>232</v>
      </c>
      <c r="O16" s="134">
        <v>1438</v>
      </c>
      <c r="P16" s="134">
        <v>2969</v>
      </c>
      <c r="Q16" s="112">
        <f>X16*$Q$72/100</f>
        <v>35299.378346018355</v>
      </c>
      <c r="R16" s="112">
        <f>SUM(I16:P16)</f>
        <v>52080.62400413189</v>
      </c>
      <c r="T16" s="10">
        <v>2847.23019301151</v>
      </c>
      <c r="U16" s="10">
        <v>5396.8735968724</v>
      </c>
      <c r="V16" s="10">
        <v>8244.10378988392</v>
      </c>
      <c r="W16" s="10">
        <v>1335.32154088104</v>
      </c>
      <c r="X16" s="10">
        <v>52724.9863271372</v>
      </c>
      <c r="Y16" s="10">
        <v>62304.4116579022</v>
      </c>
    </row>
    <row r="17" spans="1:25" ht="14.25">
      <c r="A17" s="101"/>
      <c r="B17" s="101"/>
      <c r="C17" s="117"/>
      <c r="D17" s="113"/>
      <c r="E17" s="113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T17" s="10"/>
      <c r="U17" s="10"/>
      <c r="V17" s="10"/>
      <c r="W17" s="10"/>
      <c r="X17" s="10"/>
      <c r="Y17" s="10"/>
    </row>
    <row r="18" spans="1:25" ht="14.25">
      <c r="A18" s="101"/>
      <c r="B18" s="101">
        <v>9</v>
      </c>
      <c r="C18" s="117" t="s">
        <v>404</v>
      </c>
      <c r="D18" s="113">
        <f>T18*$D$72/100</f>
        <v>135.90244264655837</v>
      </c>
      <c r="E18" s="113">
        <f>U18*$E$72/100</f>
        <v>1562.757822018991</v>
      </c>
      <c r="F18" s="112">
        <f>D18+E18</f>
        <v>1698.6602646655492</v>
      </c>
      <c r="G18" s="112">
        <f>E18*$G$72/100</f>
        <v>189.1666020413474</v>
      </c>
      <c r="H18" s="112">
        <f>E18*$H$72/100</f>
        <v>177.18121110207758</v>
      </c>
      <c r="I18" s="112">
        <f>F18+G18+H18</f>
        <v>2065.008077808974</v>
      </c>
      <c r="J18" s="112">
        <f>W18*$J$72/100</f>
        <v>522.8832764606358</v>
      </c>
      <c r="K18" s="112">
        <f>Q18*$K$72/100</f>
        <v>399.62443672051705</v>
      </c>
      <c r="L18" s="112">
        <f>Q18*$L$72/100</f>
        <v>610.3355033549715</v>
      </c>
      <c r="M18" s="112">
        <f>Q18*$M$72/100</f>
        <v>900.9714573335292</v>
      </c>
      <c r="N18" s="112">
        <v>232</v>
      </c>
      <c r="O18" s="134">
        <v>1437</v>
      </c>
      <c r="P18" s="134">
        <v>2969</v>
      </c>
      <c r="Q18" s="112">
        <f>X18*$Q$72/100</f>
        <v>2032.27442704</v>
      </c>
      <c r="R18" s="112">
        <f>SUM(I18:P18)</f>
        <v>9136.822751678628</v>
      </c>
      <c r="T18" s="10">
        <v>150.993263</v>
      </c>
      <c r="U18" s="10">
        <v>1755.70434</v>
      </c>
      <c r="V18" s="10">
        <v>1906.697603</v>
      </c>
      <c r="W18" s="10">
        <v>121.274288</v>
      </c>
      <c r="X18" s="10">
        <v>3035.51072</v>
      </c>
      <c r="Y18" s="10">
        <v>5064.482611</v>
      </c>
    </row>
    <row r="19" spans="1:25" ht="14.25">
      <c r="A19" s="101"/>
      <c r="B19" s="101">
        <v>10</v>
      </c>
      <c r="C19" s="117" t="s">
        <v>405</v>
      </c>
      <c r="D19" s="113">
        <f>T19*$D$72/100</f>
        <v>135.90244264655837</v>
      </c>
      <c r="E19" s="113">
        <f>U19*$E$72/100</f>
        <v>1562.757822018991</v>
      </c>
      <c r="F19" s="112">
        <f>D19+E19</f>
        <v>1698.6602646655492</v>
      </c>
      <c r="G19" s="112">
        <f>E19*$G$72/100</f>
        <v>189.1666020413474</v>
      </c>
      <c r="H19" s="112">
        <f>E19*$H$72/100</f>
        <v>177.18121110207758</v>
      </c>
      <c r="I19" s="112">
        <f>F19+G19+H19</f>
        <v>2065.008077808974</v>
      </c>
      <c r="J19" s="112">
        <f>W19*$J$72/100</f>
        <v>522.8832764606358</v>
      </c>
      <c r="K19" s="112">
        <f>Q19*$K$72/100</f>
        <v>399.62443672051705</v>
      </c>
      <c r="L19" s="112">
        <f>Q19*$L$72/100</f>
        <v>610.3355033549715</v>
      </c>
      <c r="M19" s="112">
        <f>Q19*$M$72/100</f>
        <v>900.9714573335292</v>
      </c>
      <c r="N19" s="112">
        <v>232</v>
      </c>
      <c r="O19" s="134">
        <v>1437</v>
      </c>
      <c r="P19" s="134">
        <v>2969</v>
      </c>
      <c r="Q19" s="112">
        <f>X19*$Q$72/100</f>
        <v>2032.27442704</v>
      </c>
      <c r="R19" s="112">
        <f>SUM(I19:P19)</f>
        <v>9136.822751678628</v>
      </c>
      <c r="T19" s="10">
        <v>150.993263</v>
      </c>
      <c r="U19" s="10">
        <v>1755.70434</v>
      </c>
      <c r="V19" s="10">
        <v>1906.697603</v>
      </c>
      <c r="W19" s="10">
        <v>121.274288</v>
      </c>
      <c r="X19" s="10">
        <v>3035.51072</v>
      </c>
      <c r="Y19" s="10">
        <v>5064.482611</v>
      </c>
    </row>
    <row r="20" spans="1:25" ht="14.25">
      <c r="A20" s="101">
        <v>2</v>
      </c>
      <c r="B20" s="101"/>
      <c r="C20" s="101" t="s">
        <v>78</v>
      </c>
      <c r="D20" s="112">
        <f aca="true" t="shared" si="3" ref="D20:R20">SUM(D18:D19)</f>
        <v>271.80488529311674</v>
      </c>
      <c r="E20" s="112">
        <f t="shared" si="3"/>
        <v>3125.515644037982</v>
      </c>
      <c r="F20" s="112">
        <f t="shared" si="3"/>
        <v>3397.3205293310984</v>
      </c>
      <c r="G20" s="112">
        <f t="shared" si="3"/>
        <v>378.3332040826948</v>
      </c>
      <c r="H20" s="112">
        <f t="shared" si="3"/>
        <v>354.36242220415517</v>
      </c>
      <c r="I20" s="112">
        <f t="shared" si="3"/>
        <v>4130.016155617948</v>
      </c>
      <c r="J20" s="112">
        <f t="shared" si="3"/>
        <v>1045.7665529212716</v>
      </c>
      <c r="K20" s="112">
        <f t="shared" si="3"/>
        <v>799.2488734410341</v>
      </c>
      <c r="L20" s="112">
        <f t="shared" si="3"/>
        <v>1220.671006709943</v>
      </c>
      <c r="M20" s="112">
        <f t="shared" si="3"/>
        <v>1801.9429146670584</v>
      </c>
      <c r="N20" s="112">
        <f t="shared" si="3"/>
        <v>464</v>
      </c>
      <c r="O20" s="112">
        <f t="shared" si="3"/>
        <v>2874</v>
      </c>
      <c r="P20" s="112">
        <f t="shared" si="3"/>
        <v>5938</v>
      </c>
      <c r="Q20" s="112">
        <f t="shared" si="3"/>
        <v>4064.54885408</v>
      </c>
      <c r="R20" s="112">
        <f t="shared" si="3"/>
        <v>18273.645503357257</v>
      </c>
      <c r="T20" s="10">
        <v>301.986526</v>
      </c>
      <c r="U20" s="10">
        <v>3512.40868</v>
      </c>
      <c r="V20" s="10">
        <v>3814.395206</v>
      </c>
      <c r="W20" s="10">
        <v>241.548576</v>
      </c>
      <c r="X20" s="10">
        <v>6072.02144</v>
      </c>
      <c r="Y20" s="10">
        <v>10127.965222</v>
      </c>
    </row>
    <row r="21" spans="1:25" ht="14.25">
      <c r="A21" s="101"/>
      <c r="B21" s="101"/>
      <c r="C21" s="101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T21" s="10"/>
      <c r="U21" s="10"/>
      <c r="V21" s="10"/>
      <c r="W21" s="10"/>
      <c r="X21" s="10"/>
      <c r="Y21" s="10"/>
    </row>
    <row r="22" spans="1:25" ht="14.25">
      <c r="A22" s="101"/>
      <c r="B22" s="101"/>
      <c r="C22" s="117" t="s">
        <v>81</v>
      </c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T22" s="10"/>
      <c r="U22" s="10"/>
      <c r="V22" s="10"/>
      <c r="W22" s="10"/>
      <c r="X22" s="10"/>
      <c r="Y22" s="10"/>
    </row>
    <row r="23" spans="1:25" ht="14.25">
      <c r="A23" s="101">
        <v>1</v>
      </c>
      <c r="B23" s="101">
        <v>11</v>
      </c>
      <c r="C23" s="117" t="s">
        <v>406</v>
      </c>
      <c r="D23" s="113">
        <f>T23*$D$72/100</f>
        <v>19237.091207008147</v>
      </c>
      <c r="E23" s="113">
        <f>U23*$E$72/100</f>
        <v>28451.356105256225</v>
      </c>
      <c r="F23" s="112">
        <f>D23+E23</f>
        <v>47688.44731226437</v>
      </c>
      <c r="G23" s="112">
        <f>E23*$G$72/100</f>
        <v>3443.9413977441354</v>
      </c>
      <c r="H23" s="112">
        <f>E23*$H$72/100</f>
        <v>3225.7370023674257</v>
      </c>
      <c r="I23" s="112">
        <f>F23+G23+H23</f>
        <v>54358.12571237593</v>
      </c>
      <c r="J23" s="112">
        <f>W23*$J$72/100</f>
        <v>0</v>
      </c>
      <c r="K23" s="112">
        <f>Q23*$K$72/100</f>
        <v>8274.957421581374</v>
      </c>
      <c r="L23" s="112">
        <f>Q23*$L$72/100</f>
        <v>12638.116789324278</v>
      </c>
      <c r="M23" s="112">
        <f>Q23*$M$72/100</f>
        <v>18656.26764138346</v>
      </c>
      <c r="N23" s="112">
        <v>232</v>
      </c>
      <c r="O23" s="134">
        <v>1437</v>
      </c>
      <c r="P23" s="134">
        <v>2969</v>
      </c>
      <c r="Q23" s="112">
        <f>X23*$Q$72/100</f>
        <v>42081.97199033121</v>
      </c>
      <c r="R23" s="112">
        <f>SUM(I23:P23)</f>
        <v>98565.46756466504</v>
      </c>
      <c r="T23" s="10">
        <v>21373.2079822064</v>
      </c>
      <c r="U23" s="10">
        <v>31964.1141378826</v>
      </c>
      <c r="V23" s="10">
        <v>53337.322120089</v>
      </c>
      <c r="W23" s="10">
        <v>0</v>
      </c>
      <c r="X23" s="10">
        <v>62855.8207473207</v>
      </c>
      <c r="Y23" s="10">
        <v>116193.14286741</v>
      </c>
    </row>
    <row r="24" spans="1:25" ht="14.25">
      <c r="A24" s="101"/>
      <c r="B24" s="101"/>
      <c r="C24" s="101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T24" s="10"/>
      <c r="U24" s="10"/>
      <c r="V24" s="10"/>
      <c r="W24" s="10"/>
      <c r="X24" s="10"/>
      <c r="Y24" s="10"/>
    </row>
    <row r="25" spans="1:25" ht="14.25">
      <c r="A25" s="101"/>
      <c r="B25" s="101"/>
      <c r="C25" s="117" t="s">
        <v>96</v>
      </c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T25" s="10"/>
      <c r="U25" s="10"/>
      <c r="V25" s="10"/>
      <c r="W25" s="10"/>
      <c r="X25" s="10"/>
      <c r="Y25" s="10"/>
    </row>
    <row r="26" spans="1:25" ht="14.25">
      <c r="A26" s="101">
        <v>2</v>
      </c>
      <c r="B26" s="101">
        <v>12</v>
      </c>
      <c r="C26" s="117" t="s">
        <v>407</v>
      </c>
      <c r="D26" s="113">
        <f>T26*$D$72/100</f>
        <v>47820.52523828281</v>
      </c>
      <c r="E26" s="113">
        <f>U26*$E$72/100+95</f>
        <v>20000.26985664571</v>
      </c>
      <c r="F26" s="112">
        <f>D26+E26</f>
        <v>67820.79509492853</v>
      </c>
      <c r="G26" s="112">
        <f>E26*$G$72/100</f>
        <v>2420.9657026728223</v>
      </c>
      <c r="H26" s="112">
        <f>E26*$H$72/100</f>
        <v>2267.575938919728</v>
      </c>
      <c r="I26" s="112">
        <f>F26+G26+H26</f>
        <v>72509.33673652109</v>
      </c>
      <c r="J26" s="112">
        <f>W26*$J$72/100</f>
        <v>17266.2624906164</v>
      </c>
      <c r="K26" s="112">
        <f>Q26*$K$72/100</f>
        <v>1688.625383607538</v>
      </c>
      <c r="L26" s="112">
        <f>Q26*$L$72/100</f>
        <v>2578.9914949642393</v>
      </c>
      <c r="M26" s="112">
        <f>Q26*$M$72/100</f>
        <v>3807.082683042449</v>
      </c>
      <c r="N26" s="112">
        <v>232</v>
      </c>
      <c r="O26" s="134">
        <v>1437</v>
      </c>
      <c r="P26" s="134">
        <v>2969</v>
      </c>
      <c r="Q26" s="112">
        <f>X26*$Q$72/100</f>
        <v>8587.438276093842</v>
      </c>
      <c r="R26" s="112">
        <f>SUM(I26:P26)</f>
        <v>102488.29878875171</v>
      </c>
      <c r="T26" s="10">
        <v>53130.591352804</v>
      </c>
      <c r="U26" s="10">
        <v>22362.8819409994</v>
      </c>
      <c r="V26" s="10">
        <v>75494.4732938034</v>
      </c>
      <c r="W26" s="10">
        <v>4004.62930110225</v>
      </c>
      <c r="X26" s="10">
        <v>12826.6441763911</v>
      </c>
      <c r="Y26" s="10">
        <v>92325.7467712968</v>
      </c>
    </row>
    <row r="27" spans="1:25" ht="14.25">
      <c r="A27" s="101"/>
      <c r="B27" s="101">
        <v>13</v>
      </c>
      <c r="C27" s="101" t="s">
        <v>408</v>
      </c>
      <c r="D27" s="113">
        <f>T27*$D$72/100</f>
        <v>900.0563332852694</v>
      </c>
      <c r="E27" s="113">
        <f>U27*$E$72/100</f>
        <v>0</v>
      </c>
      <c r="F27" s="112">
        <f>D27+E27</f>
        <v>900.0563332852694</v>
      </c>
      <c r="G27" s="112">
        <f>E27*$G$72/100</f>
        <v>0</v>
      </c>
      <c r="H27" s="112">
        <f>E27*$H$72/100</f>
        <v>0</v>
      </c>
      <c r="I27" s="112">
        <f>F27+G27+H27</f>
        <v>900.0563332852694</v>
      </c>
      <c r="J27" s="112">
        <f>W27*$J$72/100</f>
        <v>0</v>
      </c>
      <c r="K27" s="112">
        <f>Q27*$K$72/100</f>
        <v>65.8249094769326</v>
      </c>
      <c r="L27" s="112">
        <f>Q27*$L$72/100</f>
        <v>100.53258901931524</v>
      </c>
      <c r="M27" s="112">
        <f>Q27*$M$72/100</f>
        <v>148.4052504570844</v>
      </c>
      <c r="N27" s="112">
        <v>232</v>
      </c>
      <c r="O27" s="134">
        <v>1437</v>
      </c>
      <c r="P27" s="134">
        <v>2969</v>
      </c>
      <c r="Q27" s="112">
        <f>X27*$Q$72/100</f>
        <v>334.75</v>
      </c>
      <c r="R27" s="112">
        <f>SUM(I27:P27)</f>
        <v>5852.819082238602</v>
      </c>
      <c r="T27" s="10">
        <v>1000</v>
      </c>
      <c r="U27" s="10">
        <v>0</v>
      </c>
      <c r="V27" s="10">
        <v>1000</v>
      </c>
      <c r="W27" s="10">
        <v>0</v>
      </c>
      <c r="X27" s="10">
        <v>500</v>
      </c>
      <c r="Y27" s="10">
        <v>1500</v>
      </c>
    </row>
    <row r="28" spans="1:25" ht="14.25">
      <c r="A28" s="101"/>
      <c r="B28" s="101"/>
      <c r="C28" s="101" t="s">
        <v>78</v>
      </c>
      <c r="D28" s="112">
        <f aca="true" t="shared" si="4" ref="D28:R28">SUM(D26:D27)</f>
        <v>48720.58157156808</v>
      </c>
      <c r="E28" s="112">
        <f t="shared" si="4"/>
        <v>20000.26985664571</v>
      </c>
      <c r="F28" s="112">
        <f t="shared" si="4"/>
        <v>68720.8514282138</v>
      </c>
      <c r="G28" s="112">
        <f t="shared" si="4"/>
        <v>2420.9657026728223</v>
      </c>
      <c r="H28" s="112">
        <f t="shared" si="4"/>
        <v>2267.575938919728</v>
      </c>
      <c r="I28" s="112">
        <f t="shared" si="4"/>
        <v>73409.39306980636</v>
      </c>
      <c r="J28" s="112">
        <f t="shared" si="4"/>
        <v>17266.2624906164</v>
      </c>
      <c r="K28" s="112">
        <f t="shared" si="4"/>
        <v>1754.4502930844706</v>
      </c>
      <c r="L28" s="112">
        <f t="shared" si="4"/>
        <v>2679.5240839835546</v>
      </c>
      <c r="M28" s="112">
        <f t="shared" si="4"/>
        <v>3955.4879334995335</v>
      </c>
      <c r="N28" s="112">
        <f t="shared" si="4"/>
        <v>464</v>
      </c>
      <c r="O28" s="112">
        <f t="shared" si="4"/>
        <v>2874</v>
      </c>
      <c r="P28" s="112">
        <f t="shared" si="4"/>
        <v>5938</v>
      </c>
      <c r="Q28" s="112">
        <f t="shared" si="4"/>
        <v>8922.188276093842</v>
      </c>
      <c r="R28" s="112">
        <f t="shared" si="4"/>
        <v>108341.1178709903</v>
      </c>
      <c r="T28" s="10">
        <v>54130.591352804</v>
      </c>
      <c r="U28" s="10">
        <v>22362.8819409994</v>
      </c>
      <c r="V28" s="10">
        <v>76494.4732938034</v>
      </c>
      <c r="W28" s="10">
        <v>4004.62930110225</v>
      </c>
      <c r="X28" s="10">
        <v>13326.6441763911</v>
      </c>
      <c r="Y28" s="10">
        <v>93825.7467712968</v>
      </c>
    </row>
    <row r="29" spans="1:25" ht="14.25">
      <c r="A29" s="101"/>
      <c r="B29" s="101"/>
      <c r="C29" s="101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T29" s="10"/>
      <c r="U29" s="10"/>
      <c r="V29" s="10"/>
      <c r="W29" s="10"/>
      <c r="X29" s="10"/>
      <c r="Y29" s="10"/>
    </row>
    <row r="30" spans="1:25" ht="14.25">
      <c r="A30" s="101"/>
      <c r="B30" s="101"/>
      <c r="C30" s="101" t="s">
        <v>104</v>
      </c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T30" s="10"/>
      <c r="U30" s="10"/>
      <c r="V30" s="10"/>
      <c r="W30" s="10"/>
      <c r="X30" s="10"/>
      <c r="Y30" s="10"/>
    </row>
    <row r="31" spans="1:25" ht="14.25">
      <c r="A31" s="101"/>
      <c r="B31" s="101">
        <v>14</v>
      </c>
      <c r="C31" s="117" t="s">
        <v>409</v>
      </c>
      <c r="D31" s="113">
        <f>T31*$D$72/100</f>
        <v>19617.220229526727</v>
      </c>
      <c r="E31" s="113">
        <f>U31*$E$72/100</f>
        <v>23750.249583683006</v>
      </c>
      <c r="F31" s="112">
        <f>D31+E31</f>
        <v>43367.46981320973</v>
      </c>
      <c r="G31" s="112">
        <f>E31*$G$72/100</f>
        <v>2874.8881932165705</v>
      </c>
      <c r="H31" s="112">
        <f>E31*$H$72/100</f>
        <v>2692.7383922973777</v>
      </c>
      <c r="I31" s="112">
        <f>F31+G31+H31</f>
        <v>48935.096398723676</v>
      </c>
      <c r="J31" s="112">
        <f>W31*$J$72/100</f>
        <v>68408.71320890449</v>
      </c>
      <c r="K31" s="112">
        <f>Q31*$K$72/100</f>
        <v>966.7458084000868</v>
      </c>
      <c r="L31" s="112">
        <f>Q31*$L$72/100</f>
        <v>1476.4845073746778</v>
      </c>
      <c r="M31" s="112">
        <f>Q31*$M$72/100</f>
        <v>2179.5723680292867</v>
      </c>
      <c r="N31" s="112">
        <v>232</v>
      </c>
      <c r="O31" s="134">
        <v>1437</v>
      </c>
      <c r="P31" s="134">
        <v>2969</v>
      </c>
      <c r="Q31" s="112">
        <f>X31*$Q$72/100</f>
        <v>4916.347959055476</v>
      </c>
      <c r="R31" s="112">
        <f>SUM(I31:P31)</f>
        <v>126604.61229143222</v>
      </c>
      <c r="T31" s="10">
        <v>21795.5471275031</v>
      </c>
      <c r="U31" s="10">
        <v>26682.5836240471</v>
      </c>
      <c r="V31" s="10">
        <v>48479.1307515502</v>
      </c>
      <c r="W31" s="10">
        <v>15866.2905487486</v>
      </c>
      <c r="X31" s="10">
        <v>7343.31285893275</v>
      </c>
      <c r="Y31" s="10">
        <v>71687.7341592316</v>
      </c>
    </row>
    <row r="32" spans="1:25" ht="14.25">
      <c r="A32" s="101"/>
      <c r="B32" s="101">
        <v>15</v>
      </c>
      <c r="C32" s="117" t="s">
        <v>410</v>
      </c>
      <c r="D32" s="113">
        <f>T32*$D$72/100</f>
        <v>31610.504445618953</v>
      </c>
      <c r="E32" s="113">
        <f>U32*$E$72/100</f>
        <v>15213.25736975127</v>
      </c>
      <c r="F32" s="112">
        <f>D32+E32</f>
        <v>46823.76181537022</v>
      </c>
      <c r="G32" s="112">
        <f>E32*$G$72/100</f>
        <v>1841.5138686673372</v>
      </c>
      <c r="H32" s="112">
        <f>E32*$H$72/100</f>
        <v>1724.8375452683424</v>
      </c>
      <c r="I32" s="112">
        <f>F32+G32+H32</f>
        <v>50390.1132293059</v>
      </c>
      <c r="J32" s="112">
        <f>W32*$J$72/100</f>
        <v>243023.07635592145</v>
      </c>
      <c r="K32" s="112">
        <f>Q32*$K$72/100</f>
        <v>4010.061613243555</v>
      </c>
      <c r="L32" s="112">
        <f>Q32*$L$72/100</f>
        <v>6124.457736590155</v>
      </c>
      <c r="M32" s="112">
        <f>Q32*$M$72/100</f>
        <v>9040.866182585469</v>
      </c>
      <c r="N32" s="112">
        <v>232</v>
      </c>
      <c r="O32" s="134">
        <v>1437</v>
      </c>
      <c r="P32" s="134">
        <v>2969</v>
      </c>
      <c r="Q32" s="112">
        <f>X32*$Q$72/100</f>
        <v>20393.011334162085</v>
      </c>
      <c r="R32" s="112">
        <f>SUM(I32:P32)</f>
        <v>317226.57511764654</v>
      </c>
      <c r="T32" s="10">
        <v>35120.5844307971</v>
      </c>
      <c r="U32" s="10">
        <v>17091.5682604625</v>
      </c>
      <c r="V32" s="10">
        <v>52213.1526912596</v>
      </c>
      <c r="W32" s="10">
        <v>56365.2575621297</v>
      </c>
      <c r="X32" s="10">
        <v>30460.061738853</v>
      </c>
      <c r="Y32" s="10">
        <v>139038.471992242</v>
      </c>
    </row>
    <row r="33" spans="1:25" ht="14.25">
      <c r="A33" s="101">
        <v>2</v>
      </c>
      <c r="B33" s="101"/>
      <c r="C33" s="101" t="s">
        <v>78</v>
      </c>
      <c r="D33" s="112">
        <f aca="true" t="shared" si="5" ref="D33:R33">SUM(D31:D32)</f>
        <v>51227.724675145684</v>
      </c>
      <c r="E33" s="112">
        <f t="shared" si="5"/>
        <v>38963.50695343428</v>
      </c>
      <c r="F33" s="112">
        <f t="shared" si="5"/>
        <v>90191.23162857996</v>
      </c>
      <c r="G33" s="112">
        <f t="shared" si="5"/>
        <v>4716.402061883908</v>
      </c>
      <c r="H33" s="112">
        <f t="shared" si="5"/>
        <v>4417.57593756572</v>
      </c>
      <c r="I33" s="112">
        <f t="shared" si="5"/>
        <v>99325.20962802958</v>
      </c>
      <c r="J33" s="112">
        <f t="shared" si="5"/>
        <v>311431.78956482594</v>
      </c>
      <c r="K33" s="112">
        <f t="shared" si="5"/>
        <v>4976.807421643642</v>
      </c>
      <c r="L33" s="112">
        <f t="shared" si="5"/>
        <v>7600.942243964833</v>
      </c>
      <c r="M33" s="112">
        <f t="shared" si="5"/>
        <v>11220.438550614756</v>
      </c>
      <c r="N33" s="112">
        <f t="shared" si="5"/>
        <v>464</v>
      </c>
      <c r="O33" s="112">
        <f t="shared" si="5"/>
        <v>2874</v>
      </c>
      <c r="P33" s="112">
        <f t="shared" si="5"/>
        <v>5938</v>
      </c>
      <c r="Q33" s="112">
        <f t="shared" si="5"/>
        <v>25309.35929321756</v>
      </c>
      <c r="R33" s="112">
        <f t="shared" si="5"/>
        <v>443831.18740907876</v>
      </c>
      <c r="T33" s="10">
        <v>56917.1315583002</v>
      </c>
      <c r="U33" s="10">
        <v>43775.1518845096</v>
      </c>
      <c r="V33" s="10">
        <v>100692.28344281</v>
      </c>
      <c r="W33" s="10">
        <v>72230.5481108782</v>
      </c>
      <c r="X33" s="10">
        <v>37803.3745977858</v>
      </c>
      <c r="Y33" s="10">
        <v>210726.206151474</v>
      </c>
    </row>
    <row r="34" spans="1:25" ht="14.25">
      <c r="A34" s="101"/>
      <c r="B34" s="101"/>
      <c r="C34" s="101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T34" s="10"/>
      <c r="U34" s="10"/>
      <c r="V34" s="10"/>
      <c r="W34" s="10"/>
      <c r="X34" s="10"/>
      <c r="Y34" s="10"/>
    </row>
    <row r="35" spans="1:25" ht="14.25">
      <c r="A35" s="101"/>
      <c r="B35" s="101"/>
      <c r="C35" s="101" t="s">
        <v>108</v>
      </c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T35" s="10"/>
      <c r="U35" s="10"/>
      <c r="V35" s="10"/>
      <c r="W35" s="10"/>
      <c r="X35" s="10"/>
      <c r="Y35" s="10"/>
    </row>
    <row r="36" spans="1:25" ht="14.25">
      <c r="A36" s="101">
        <v>1</v>
      </c>
      <c r="B36" s="101">
        <v>16</v>
      </c>
      <c r="C36" s="117" t="s">
        <v>411</v>
      </c>
      <c r="D36" s="113">
        <f>T36*$D$72/100</f>
        <v>14094.671621475767</v>
      </c>
      <c r="E36" s="113">
        <f>U36*$E$72/100</f>
        <v>17646.51583035967</v>
      </c>
      <c r="F36" s="112">
        <f>D36+E36</f>
        <v>31741.187451835438</v>
      </c>
      <c r="G36" s="112">
        <f>E36*$G$72/100</f>
        <v>2136.051658461908</v>
      </c>
      <c r="H36" s="112">
        <f>E36*$H$72/100</f>
        <v>2000.7137398395405</v>
      </c>
      <c r="I36" s="112">
        <f>F36+G36+H36</f>
        <v>35877.95285013689</v>
      </c>
      <c r="J36" s="112">
        <f>W36*$J$72/100</f>
        <v>13691.247072511704</v>
      </c>
      <c r="K36" s="112">
        <f>Q36*$K$72/100</f>
        <v>7734.22626304701</v>
      </c>
      <c r="L36" s="112">
        <f>Q36*$L$72/100</f>
        <v>11812.27283810816</v>
      </c>
      <c r="M36" s="112">
        <f>Q36*$M$72/100</f>
        <v>17437.164665778713</v>
      </c>
      <c r="N36" s="112">
        <v>232</v>
      </c>
      <c r="O36" s="134">
        <v>1437</v>
      </c>
      <c r="P36" s="134">
        <v>2969</v>
      </c>
      <c r="Q36" s="112">
        <f>X36*$Q$72/100</f>
        <v>39332.10485404885</v>
      </c>
      <c r="R36" s="112">
        <f>SUM(I36:P36)</f>
        <v>91190.86368958247</v>
      </c>
      <c r="T36" s="10">
        <v>15659.7660615633</v>
      </c>
      <c r="U36" s="10">
        <v>19825.2499476945</v>
      </c>
      <c r="V36" s="10">
        <v>35485.0160092579</v>
      </c>
      <c r="W36" s="10">
        <v>3175.46250817211</v>
      </c>
      <c r="X36" s="10">
        <v>58748.4762569811</v>
      </c>
      <c r="Y36" s="10">
        <v>97407.954774411</v>
      </c>
    </row>
    <row r="37" spans="1:25" ht="14.25">
      <c r="A37" s="101"/>
      <c r="B37" s="101"/>
      <c r="C37" s="101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T37" s="10"/>
      <c r="U37" s="10"/>
      <c r="V37" s="10"/>
      <c r="W37" s="10"/>
      <c r="X37" s="10"/>
      <c r="Y37" s="10"/>
    </row>
    <row r="38" spans="1:25" ht="14.25">
      <c r="A38" s="101">
        <v>1</v>
      </c>
      <c r="B38" s="101">
        <v>17</v>
      </c>
      <c r="C38" s="101" t="s">
        <v>412</v>
      </c>
      <c r="D38" s="113">
        <f>T38*$D$72/100</f>
        <v>0</v>
      </c>
      <c r="E38" s="113">
        <f>U38*$E$72/100</f>
        <v>0</v>
      </c>
      <c r="F38" s="112">
        <f>D38+E38</f>
        <v>0</v>
      </c>
      <c r="G38" s="112">
        <f>E38*$G$72/100</f>
        <v>0</v>
      </c>
      <c r="H38" s="112">
        <f>E38*$H$72/100</f>
        <v>0</v>
      </c>
      <c r="I38" s="112">
        <f>F38+G38+H38</f>
        <v>0</v>
      </c>
      <c r="J38" s="112">
        <f>W38*$J$72/100</f>
        <v>0</v>
      </c>
      <c r="K38" s="112">
        <f>Q38*$K$72/100</f>
        <v>65.8249094769326</v>
      </c>
      <c r="L38" s="112">
        <f>Q38*$L$72/100</f>
        <v>100.53258901931524</v>
      </c>
      <c r="M38" s="112">
        <f>Q38*$M$72/100</f>
        <v>148.4052504570844</v>
      </c>
      <c r="N38" s="112">
        <f>232+13</f>
        <v>245</v>
      </c>
      <c r="O38" s="134">
        <v>1437</v>
      </c>
      <c r="P38" s="134">
        <v>2969</v>
      </c>
      <c r="Q38" s="112">
        <f>X38*$Q$72/100</f>
        <v>334.75</v>
      </c>
      <c r="R38" s="112">
        <f>SUM(I38:P38)</f>
        <v>4965.762748953332</v>
      </c>
      <c r="T38" s="10">
        <v>0</v>
      </c>
      <c r="U38" s="10">
        <v>0</v>
      </c>
      <c r="V38" s="10">
        <v>0</v>
      </c>
      <c r="W38" s="10">
        <v>0</v>
      </c>
      <c r="X38" s="10">
        <v>500</v>
      </c>
      <c r="Y38" s="10">
        <v>500</v>
      </c>
    </row>
    <row r="39" spans="1:25" ht="14.25">
      <c r="A39" s="101"/>
      <c r="B39" s="101"/>
      <c r="C39" s="101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T39" s="10"/>
      <c r="U39" s="10"/>
      <c r="V39" s="10"/>
      <c r="W39" s="10"/>
      <c r="X39" s="10"/>
      <c r="Y39" s="10"/>
    </row>
    <row r="40" spans="1:25" ht="14.25">
      <c r="A40" s="101">
        <v>1</v>
      </c>
      <c r="B40" s="101">
        <v>18</v>
      </c>
      <c r="C40" s="101" t="s">
        <v>413</v>
      </c>
      <c r="D40" s="113">
        <f>T40*$D$72/100</f>
        <v>0</v>
      </c>
      <c r="E40" s="113">
        <f>U40*$E$72/100</f>
        <v>0</v>
      </c>
      <c r="F40" s="112">
        <f>D40+E40</f>
        <v>0</v>
      </c>
      <c r="G40" s="112">
        <f>E40*$G$72/100</f>
        <v>0</v>
      </c>
      <c r="H40" s="112">
        <f>E40*$H$72/100</f>
        <v>0</v>
      </c>
      <c r="I40" s="112">
        <f>F40+G40+H40</f>
        <v>0</v>
      </c>
      <c r="J40" s="112">
        <f>W40*$J$72/100</f>
        <v>0</v>
      </c>
      <c r="K40" s="112">
        <f>Q40*$K$72/100</f>
        <v>65.8249094769326</v>
      </c>
      <c r="L40" s="112">
        <f>Q40*$L$72/100</f>
        <v>100.53258901931524</v>
      </c>
      <c r="M40" s="112">
        <f>Q40*$M$72/100</f>
        <v>148.4052504570844</v>
      </c>
      <c r="N40" s="112">
        <v>232</v>
      </c>
      <c r="O40" s="134">
        <v>1437</v>
      </c>
      <c r="P40" s="134">
        <v>2969</v>
      </c>
      <c r="Q40" s="112">
        <f>X40*$Q$72/100</f>
        <v>334.75</v>
      </c>
      <c r="R40" s="112">
        <f>SUM(I40:P40)</f>
        <v>4952.762748953332</v>
      </c>
      <c r="T40" s="10">
        <v>0</v>
      </c>
      <c r="U40" s="10">
        <v>0</v>
      </c>
      <c r="V40" s="10">
        <v>0</v>
      </c>
      <c r="W40" s="10">
        <v>0</v>
      </c>
      <c r="X40" s="10">
        <v>500</v>
      </c>
      <c r="Y40" s="10">
        <v>500</v>
      </c>
    </row>
    <row r="41" spans="1:25" ht="14.25">
      <c r="A41" s="101"/>
      <c r="B41" s="101">
        <v>3</v>
      </c>
      <c r="C41" s="117" t="s">
        <v>414</v>
      </c>
      <c r="D41" s="113">
        <f>T41*$D$72/100</f>
        <v>0</v>
      </c>
      <c r="E41" s="113">
        <f>U41*$E$72/100</f>
        <v>0</v>
      </c>
      <c r="F41" s="112">
        <f>D41+E41</f>
        <v>0</v>
      </c>
      <c r="G41" s="112">
        <f>E41*$G$72/100</f>
        <v>0</v>
      </c>
      <c r="H41" s="112">
        <f>E41*$H$72/100</f>
        <v>0</v>
      </c>
      <c r="I41" s="112">
        <f>F41+G41+H41</f>
        <v>0</v>
      </c>
      <c r="J41" s="112">
        <f>W41*$J$72/100</f>
        <v>0</v>
      </c>
      <c r="K41" s="112">
        <f>Q41*$K$72/100</f>
        <v>966.7458084000868</v>
      </c>
      <c r="L41" s="112">
        <f>Q41*$L$72/100</f>
        <v>1476.4845073746778</v>
      </c>
      <c r="M41" s="112">
        <f>Q41*$M$72/100</f>
        <v>2179.5723680292867</v>
      </c>
      <c r="N41" s="112">
        <v>232</v>
      </c>
      <c r="O41" s="134">
        <v>1437</v>
      </c>
      <c r="P41" s="134">
        <v>2969</v>
      </c>
      <c r="Q41" s="112">
        <f>X41*$Q$72/100</f>
        <v>4916.347959055476</v>
      </c>
      <c r="R41" s="112">
        <f>SUM(I41:P41)</f>
        <v>9260.802683804051</v>
      </c>
      <c r="T41" s="10">
        <v>0</v>
      </c>
      <c r="U41" s="10">
        <v>0</v>
      </c>
      <c r="V41" s="10">
        <v>0</v>
      </c>
      <c r="W41" s="10">
        <v>0</v>
      </c>
      <c r="X41" s="10">
        <v>7343.31285893275</v>
      </c>
      <c r="Y41" s="10">
        <v>7343.31285893275</v>
      </c>
    </row>
    <row r="42" spans="1:25" ht="14.25">
      <c r="A42" s="101"/>
      <c r="B42" s="101"/>
      <c r="C42" s="101"/>
      <c r="D42" s="112">
        <f aca="true" t="shared" si="6" ref="D42:R42">SUM(D40:D41)</f>
        <v>0</v>
      </c>
      <c r="E42" s="112">
        <f t="shared" si="6"/>
        <v>0</v>
      </c>
      <c r="F42" s="112">
        <f t="shared" si="6"/>
        <v>0</v>
      </c>
      <c r="G42" s="112">
        <f t="shared" si="6"/>
        <v>0</v>
      </c>
      <c r="H42" s="112">
        <f t="shared" si="6"/>
        <v>0</v>
      </c>
      <c r="I42" s="112">
        <f t="shared" si="6"/>
        <v>0</v>
      </c>
      <c r="J42" s="112">
        <f t="shared" si="6"/>
        <v>0</v>
      </c>
      <c r="K42" s="112">
        <f t="shared" si="6"/>
        <v>1032.5707178770194</v>
      </c>
      <c r="L42" s="112">
        <f t="shared" si="6"/>
        <v>1577.0170963939931</v>
      </c>
      <c r="M42" s="112">
        <f t="shared" si="6"/>
        <v>2327.9776184863713</v>
      </c>
      <c r="N42" s="112">
        <f t="shared" si="6"/>
        <v>464</v>
      </c>
      <c r="O42" s="112">
        <f t="shared" si="6"/>
        <v>2874</v>
      </c>
      <c r="P42" s="112">
        <f t="shared" si="6"/>
        <v>5938</v>
      </c>
      <c r="Q42" s="112">
        <f t="shared" si="6"/>
        <v>5251.097959055476</v>
      </c>
      <c r="R42" s="112">
        <f t="shared" si="6"/>
        <v>14213.565432757383</v>
      </c>
      <c r="T42" s="10"/>
      <c r="U42" s="10"/>
      <c r="V42" s="10"/>
      <c r="W42" s="10"/>
      <c r="X42" s="10"/>
      <c r="Y42" s="10"/>
    </row>
    <row r="43" spans="1:25" ht="14.25">
      <c r="A43" s="101"/>
      <c r="B43" s="101"/>
      <c r="C43" s="101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T43" s="10"/>
      <c r="U43" s="10"/>
      <c r="V43" s="10"/>
      <c r="W43" s="10"/>
      <c r="X43" s="10"/>
      <c r="Y43" s="10"/>
    </row>
    <row r="44" spans="1:25" ht="14.25">
      <c r="A44" s="101">
        <v>1</v>
      </c>
      <c r="B44" s="101">
        <v>19</v>
      </c>
      <c r="C44" s="101" t="s">
        <v>415</v>
      </c>
      <c r="D44" s="113">
        <f>T44*$D$72/100</f>
        <v>6.300394332996885</v>
      </c>
      <c r="E44" s="113">
        <f>U44*$E$72/100</f>
        <v>0</v>
      </c>
      <c r="F44" s="112">
        <f>D44+E44</f>
        <v>6.300394332996885</v>
      </c>
      <c r="G44" s="112">
        <f>E44*$G$72/100</f>
        <v>0</v>
      </c>
      <c r="H44" s="112">
        <f>E44*$H$72/100</f>
        <v>0</v>
      </c>
      <c r="I44" s="112">
        <f>F44+G44+H44</f>
        <v>6.300394332996885</v>
      </c>
      <c r="J44" s="112">
        <f>W44*$J$72/100</f>
        <v>0</v>
      </c>
      <c r="K44" s="112">
        <f>Q44*$K$72/100</f>
        <v>65.8249094769326</v>
      </c>
      <c r="L44" s="112">
        <f>Q44*$L$72/100</f>
        <v>100.53258901931524</v>
      </c>
      <c r="M44" s="112">
        <f>Q44*$M$72/100</f>
        <v>148.4052504570844</v>
      </c>
      <c r="N44" s="112">
        <v>232</v>
      </c>
      <c r="O44" s="134">
        <v>1437</v>
      </c>
      <c r="P44" s="134">
        <v>2969</v>
      </c>
      <c r="Q44" s="112">
        <f>X44*$Q$72/100</f>
        <v>334.75</v>
      </c>
      <c r="R44" s="112">
        <f>SUM(I44:P44)</f>
        <v>4959.063143286329</v>
      </c>
      <c r="T44" s="10">
        <v>7</v>
      </c>
      <c r="U44" s="10">
        <v>0</v>
      </c>
      <c r="V44" s="10">
        <v>7</v>
      </c>
      <c r="W44" s="10">
        <v>0</v>
      </c>
      <c r="X44" s="10">
        <v>500</v>
      </c>
      <c r="Y44" s="10">
        <v>507</v>
      </c>
    </row>
    <row r="45" spans="1:25" ht="14.25">
      <c r="A45" s="101"/>
      <c r="B45" s="101"/>
      <c r="C45" s="101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T45" s="10"/>
      <c r="U45" s="10"/>
      <c r="V45" s="10"/>
      <c r="W45" s="10"/>
      <c r="X45" s="10"/>
      <c r="Y45" s="10"/>
    </row>
    <row r="46" spans="1:25" ht="14.25">
      <c r="A46" s="101"/>
      <c r="B46" s="101"/>
      <c r="C46" s="117" t="s">
        <v>148</v>
      </c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T46" s="10"/>
      <c r="U46" s="10"/>
      <c r="V46" s="10"/>
      <c r="W46" s="10"/>
      <c r="X46" s="10"/>
      <c r="Y46" s="10"/>
    </row>
    <row r="47" spans="1:25" ht="14.25">
      <c r="A47" s="101"/>
      <c r="B47" s="101">
        <v>20</v>
      </c>
      <c r="C47" s="117" t="s">
        <v>416</v>
      </c>
      <c r="D47" s="113">
        <f aca="true" t="shared" si="7" ref="D47:D53">T47*$D$72/100</f>
        <v>26822.58720692968</v>
      </c>
      <c r="E47" s="113">
        <f aca="true" t="shared" si="8" ref="E47:E53">U47*$E$72/100</f>
        <v>13083.911126221208</v>
      </c>
      <c r="F47" s="112">
        <f aca="true" t="shared" si="9" ref="F47:F53">D47+E47</f>
        <v>39906.498333150885</v>
      </c>
      <c r="G47" s="112">
        <f>E47*$G$72/100-4</f>
        <v>1579.763635212934</v>
      </c>
      <c r="H47" s="112">
        <f>E47*$H$72/100</f>
        <v>1483.418087327705</v>
      </c>
      <c r="I47" s="112">
        <f aca="true" t="shared" si="10" ref="I47:I53">F47+G47+H47</f>
        <v>42969.680055691526</v>
      </c>
      <c r="J47" s="112">
        <f>W47*$J$72/100</f>
        <v>25781.36826708238</v>
      </c>
      <c r="K47" s="112">
        <f>Q47*$K$72/100-1000</f>
        <v>5291.19502274441</v>
      </c>
      <c r="L47" s="112">
        <f>Q47*$L$72/100+13</f>
        <v>9621.370580191462</v>
      </c>
      <c r="M47" s="112">
        <f aca="true" t="shared" si="11" ref="M47:M53">Q47*$M$72/100</f>
        <v>14183.785142187397</v>
      </c>
      <c r="N47" s="112">
        <v>232</v>
      </c>
      <c r="O47" s="134">
        <v>1437</v>
      </c>
      <c r="P47" s="134">
        <v>2969</v>
      </c>
      <c r="Q47" s="112">
        <f aca="true" t="shared" si="12" ref="Q47:Q53">X47*$Q$72/100</f>
        <v>31993.625978349442</v>
      </c>
      <c r="R47" s="112">
        <f aca="true" t="shared" si="13" ref="R47:R53">SUM(I47:P47)</f>
        <v>102485.39906789717</v>
      </c>
      <c r="T47" s="10">
        <v>29801.0093535205</v>
      </c>
      <c r="U47" s="10">
        <v>14699.3214334407</v>
      </c>
      <c r="V47" s="10">
        <v>44500.3307869612</v>
      </c>
      <c r="W47" s="10">
        <v>5979.5698600653</v>
      </c>
      <c r="X47" s="10">
        <v>47787.3427607908</v>
      </c>
      <c r="Y47" s="10">
        <v>98267.2434078173</v>
      </c>
    </row>
    <row r="48" spans="1:25" ht="14.25">
      <c r="A48" s="101"/>
      <c r="B48" s="101">
        <v>21</v>
      </c>
      <c r="C48" s="117" t="s">
        <v>417</v>
      </c>
      <c r="D48" s="113">
        <f t="shared" si="7"/>
        <v>19160.21117998195</v>
      </c>
      <c r="E48" s="113">
        <f t="shared" si="8"/>
        <v>15930.882346852526</v>
      </c>
      <c r="F48" s="112">
        <f t="shared" si="9"/>
        <v>35091.09352683448</v>
      </c>
      <c r="G48" s="112">
        <f aca="true" t="shared" si="14" ref="G48:G53">E48*$G$72/100</f>
        <v>1928.3799694447837</v>
      </c>
      <c r="H48" s="112">
        <f>E48*$H$72/100-4</f>
        <v>1802.199904021813</v>
      </c>
      <c r="I48" s="112">
        <f t="shared" si="10"/>
        <v>38821.67340030107</v>
      </c>
      <c r="J48" s="112">
        <f>W48*$J$72/100</f>
        <v>9643.54440539592</v>
      </c>
      <c r="K48" s="112">
        <f>Q48*$K$72/100-1000</f>
        <v>5450.12803364538</v>
      </c>
      <c r="L48" s="112">
        <f aca="true" t="shared" si="15" ref="L48:L53">Q48*$L$72/100</f>
        <v>9851.104633203851</v>
      </c>
      <c r="M48" s="112">
        <f t="shared" si="11"/>
        <v>14542.106839491402</v>
      </c>
      <c r="N48" s="112">
        <v>232</v>
      </c>
      <c r="O48" s="134">
        <v>1437</v>
      </c>
      <c r="P48" s="134">
        <v>2969</v>
      </c>
      <c r="Q48" s="112">
        <f t="shared" si="12"/>
        <v>32801.87358281814</v>
      </c>
      <c r="R48" s="112">
        <f t="shared" si="13"/>
        <v>82946.55731203762</v>
      </c>
      <c r="T48" s="10">
        <v>21287.7910764161</v>
      </c>
      <c r="U48" s="10">
        <v>17897.7950916687</v>
      </c>
      <c r="V48" s="10">
        <v>39185.5861680849</v>
      </c>
      <c r="W48" s="10">
        <v>2236.66358097574</v>
      </c>
      <c r="X48" s="10">
        <v>48994.5833947993</v>
      </c>
      <c r="Y48" s="10">
        <v>90417.8331438599</v>
      </c>
    </row>
    <row r="49" spans="1:25" ht="14.25">
      <c r="A49" s="101"/>
      <c r="B49" s="101">
        <v>22</v>
      </c>
      <c r="C49" s="117" t="s">
        <v>418</v>
      </c>
      <c r="D49" s="113">
        <f t="shared" si="7"/>
        <v>28731.774544747874</v>
      </c>
      <c r="E49" s="113">
        <f t="shared" si="8"/>
        <v>24358.074017839845</v>
      </c>
      <c r="F49" s="112">
        <f t="shared" si="9"/>
        <v>53089.84856258772</v>
      </c>
      <c r="G49" s="112">
        <f t="shared" si="14"/>
        <v>2948.4633058969257</v>
      </c>
      <c r="H49" s="112">
        <f>E49*$H$72/100</f>
        <v>2761.651865558518</v>
      </c>
      <c r="I49" s="112">
        <f t="shared" si="10"/>
        <v>58799.963734043165</v>
      </c>
      <c r="J49" s="112">
        <f>W49*$J$72/100</f>
        <v>36795.15957903606</v>
      </c>
      <c r="K49" s="112">
        <f>Q49*$K$72/100-1000</f>
        <v>6359.255791864827</v>
      </c>
      <c r="L49" s="112">
        <f t="shared" si="15"/>
        <v>11239.590663939007</v>
      </c>
      <c r="M49" s="112">
        <f t="shared" si="11"/>
        <v>16591.776694386153</v>
      </c>
      <c r="N49" s="112">
        <v>232</v>
      </c>
      <c r="O49" s="134">
        <v>1437</v>
      </c>
      <c r="P49" s="134">
        <v>2969</v>
      </c>
      <c r="Q49" s="112">
        <f t="shared" si="12"/>
        <v>37425.207203513935</v>
      </c>
      <c r="R49" s="112">
        <f t="shared" si="13"/>
        <v>134423.74646326923</v>
      </c>
      <c r="T49" s="10">
        <v>31922.1958473142</v>
      </c>
      <c r="U49" s="10">
        <v>27365.4533444677</v>
      </c>
      <c r="V49" s="10">
        <v>59286.6491917819</v>
      </c>
      <c r="W49" s="10">
        <v>8534.03996777073</v>
      </c>
      <c r="X49" s="10">
        <v>55900.2348073397</v>
      </c>
      <c r="Y49" s="10">
        <v>123720.923966892</v>
      </c>
    </row>
    <row r="50" spans="1:25" ht="14.25">
      <c r="A50" s="101"/>
      <c r="B50" s="101">
        <v>23</v>
      </c>
      <c r="C50" s="117" t="s">
        <v>419</v>
      </c>
      <c r="D50" s="113">
        <f t="shared" si="7"/>
        <v>22000.50106733999</v>
      </c>
      <c r="E50" s="113">
        <f t="shared" si="8"/>
        <v>5299.836921051361</v>
      </c>
      <c r="F50" s="112">
        <f t="shared" si="9"/>
        <v>27300.33798839135</v>
      </c>
      <c r="G50" s="112">
        <f t="shared" si="14"/>
        <v>641.5275147580605</v>
      </c>
      <c r="H50" s="112">
        <f>E50*$H$72/100</f>
        <v>600.8810265318094</v>
      </c>
      <c r="I50" s="112">
        <f t="shared" si="10"/>
        <v>28542.746529681222</v>
      </c>
      <c r="J50" s="112">
        <f>W50*$J$72/100</f>
        <v>16281.757360274478</v>
      </c>
      <c r="K50" s="112">
        <f>Q50*$K$72/100-1000</f>
        <v>2576.9594910803244</v>
      </c>
      <c r="L50" s="112">
        <f t="shared" si="15"/>
        <v>5462.992677286314</v>
      </c>
      <c r="M50" s="112">
        <f t="shared" si="11"/>
        <v>8064.417761708368</v>
      </c>
      <c r="N50" s="112">
        <v>232</v>
      </c>
      <c r="O50" s="134">
        <v>1437</v>
      </c>
      <c r="P50" s="134">
        <v>2969</v>
      </c>
      <c r="Q50" s="112">
        <f t="shared" si="12"/>
        <v>18190.48744850528</v>
      </c>
      <c r="R50" s="112">
        <f t="shared" si="13"/>
        <v>65566.87382003071</v>
      </c>
      <c r="T50" s="10">
        <v>24443.4712070039</v>
      </c>
      <c r="U50" s="10">
        <v>5954.18340095759</v>
      </c>
      <c r="V50" s="10">
        <v>30396.6546079615</v>
      </c>
      <c r="W50" s="10">
        <v>3776.28931761159</v>
      </c>
      <c r="X50" s="10">
        <v>27170.2575780512</v>
      </c>
      <c r="Y50" s="10">
        <v>61343.2015036242</v>
      </c>
    </row>
    <row r="51" spans="1:25" ht="14.25">
      <c r="A51" s="101"/>
      <c r="B51" s="101">
        <v>24</v>
      </c>
      <c r="C51" s="117" t="s">
        <v>420</v>
      </c>
      <c r="D51" s="113">
        <f t="shared" si="7"/>
        <v>37295.35533294749</v>
      </c>
      <c r="E51" s="113">
        <f t="shared" si="8"/>
        <v>27650.1295821925</v>
      </c>
      <c r="F51" s="112">
        <f t="shared" si="9"/>
        <v>64945.48491513999</v>
      </c>
      <c r="G51" s="112">
        <f t="shared" si="14"/>
        <v>3346.955609736653</v>
      </c>
      <c r="H51" s="112">
        <f>E51*$H$72/100</f>
        <v>3134.8961288019173</v>
      </c>
      <c r="I51" s="112">
        <f t="shared" si="10"/>
        <v>71427.33665367856</v>
      </c>
      <c r="J51" s="112">
        <f>W51*$J$72/100</f>
        <v>39886.85112870633</v>
      </c>
      <c r="K51" s="112">
        <f>Q51*$K$72/100-2000-500</f>
        <v>9129.952075053046</v>
      </c>
      <c r="L51" s="112">
        <f t="shared" si="15"/>
        <v>17762.108623717377</v>
      </c>
      <c r="M51" s="112">
        <f t="shared" si="11"/>
        <v>26220.255587392323</v>
      </c>
      <c r="N51" s="112">
        <v>232</v>
      </c>
      <c r="O51" s="134">
        <v>1437</v>
      </c>
      <c r="P51" s="134">
        <v>2969</v>
      </c>
      <c r="Q51" s="112">
        <f t="shared" si="12"/>
        <v>59143.66594743739</v>
      </c>
      <c r="R51" s="112">
        <f t="shared" si="13"/>
        <v>169064.50406854763</v>
      </c>
      <c r="T51" s="10">
        <v>41436.6900756276</v>
      </c>
      <c r="U51" s="10">
        <v>31063.9638624876</v>
      </c>
      <c r="V51" s="10">
        <v>72500.6539381153</v>
      </c>
      <c r="W51" s="10">
        <v>9251.10763522386</v>
      </c>
      <c r="X51" s="10">
        <v>88340.053692961</v>
      </c>
      <c r="Y51" s="10">
        <v>170091.8152663</v>
      </c>
    </row>
    <row r="52" spans="1:25" ht="14.25">
      <c r="A52" s="101"/>
      <c r="B52" s="101"/>
      <c r="C52" s="117" t="s">
        <v>421</v>
      </c>
      <c r="D52" s="113">
        <f t="shared" si="7"/>
        <v>47391.63450618044</v>
      </c>
      <c r="E52" s="113">
        <f t="shared" si="8"/>
        <v>15052.478003296792</v>
      </c>
      <c r="F52" s="112">
        <f t="shared" si="9"/>
        <v>62444.11250947723</v>
      </c>
      <c r="G52" s="112">
        <f t="shared" si="14"/>
        <v>1822.0520646680068</v>
      </c>
      <c r="H52" s="112">
        <f>E52*$H$72/100</f>
        <v>1706.6088200831273</v>
      </c>
      <c r="I52" s="112">
        <f t="shared" si="10"/>
        <v>65972.77339422837</v>
      </c>
      <c r="J52" s="112">
        <f>W52*$J$72/100-5</f>
        <v>593.7633541260792</v>
      </c>
      <c r="K52" s="112">
        <f>Q52*$K$72/100-2000</f>
        <v>9623.378203555932</v>
      </c>
      <c r="L52" s="112">
        <f t="shared" si="15"/>
        <v>17752.06852906724</v>
      </c>
      <c r="M52" s="112">
        <f t="shared" si="11"/>
        <v>26205.434495289737</v>
      </c>
      <c r="N52" s="112">
        <v>232</v>
      </c>
      <c r="O52" s="134">
        <v>1437</v>
      </c>
      <c r="P52" s="134">
        <v>2969</v>
      </c>
      <c r="Q52" s="112">
        <f t="shared" si="12"/>
        <v>59110.23478131584</v>
      </c>
      <c r="R52" s="112">
        <f t="shared" si="13"/>
        <v>124785.41797626736</v>
      </c>
      <c r="T52" s="10">
        <v>52654.0759212233</v>
      </c>
      <c r="U52" s="10">
        <v>16910.9382053834</v>
      </c>
      <c r="V52" s="10">
        <v>69565.0141266067</v>
      </c>
      <c r="W52" s="10">
        <v>138.873440251629</v>
      </c>
      <c r="X52" s="10">
        <v>88290.1191655203</v>
      </c>
      <c r="Y52" s="10">
        <v>157994.006732379</v>
      </c>
    </row>
    <row r="53" spans="1:25" ht="14.25">
      <c r="A53" s="101"/>
      <c r="B53" s="101">
        <v>2</v>
      </c>
      <c r="C53" s="117" t="s">
        <v>422</v>
      </c>
      <c r="D53" s="113">
        <f t="shared" si="7"/>
        <v>421.2975722043309</v>
      </c>
      <c r="E53" s="113">
        <f t="shared" si="8"/>
        <v>1905.8237096788478</v>
      </c>
      <c r="F53" s="112">
        <f t="shared" si="9"/>
        <v>2327.1212818831787</v>
      </c>
      <c r="G53" s="112">
        <f t="shared" si="14"/>
        <v>230.69357911388647</v>
      </c>
      <c r="H53" s="112">
        <f>E53*$H$72/100</f>
        <v>216.07708390267078</v>
      </c>
      <c r="I53" s="112">
        <f t="shared" si="10"/>
        <v>2773.891944899736</v>
      </c>
      <c r="J53" s="112">
        <f>W53*$J$72/100</f>
        <v>0</v>
      </c>
      <c r="K53" s="112">
        <f>Q53*$K$72/100</f>
        <v>1508.1234611041366</v>
      </c>
      <c r="L53" s="112">
        <f t="shared" si="15"/>
        <v>2303.3158315045</v>
      </c>
      <c r="M53" s="112">
        <f t="shared" si="11"/>
        <v>3400.13289412569</v>
      </c>
      <c r="N53" s="112">
        <v>232</v>
      </c>
      <c r="O53" s="134">
        <v>1437</v>
      </c>
      <c r="P53" s="134">
        <v>2969</v>
      </c>
      <c r="Q53" s="112">
        <f t="shared" si="12"/>
        <v>7669.502816126549</v>
      </c>
      <c r="R53" s="112">
        <f t="shared" si="13"/>
        <v>14623.464131634064</v>
      </c>
      <c r="T53" s="10">
        <v>468.0791153</v>
      </c>
      <c r="U53" s="10">
        <v>2141.12699435101</v>
      </c>
      <c r="V53" s="10">
        <v>2609.20610965101</v>
      </c>
      <c r="W53" s="10">
        <v>0</v>
      </c>
      <c r="X53" s="10">
        <v>11455.5680599351</v>
      </c>
      <c r="Y53" s="10">
        <v>14064.7741695861</v>
      </c>
    </row>
    <row r="54" spans="1:25" ht="14.25">
      <c r="A54" s="101">
        <v>5</v>
      </c>
      <c r="B54" s="101"/>
      <c r="C54" s="101" t="s">
        <v>78</v>
      </c>
      <c r="D54" s="112">
        <f aca="true" t="shared" si="16" ref="D54:R54">SUM(D47:D53)</f>
        <v>181823.36141033174</v>
      </c>
      <c r="E54" s="112">
        <f t="shared" si="16"/>
        <v>103281.13570713309</v>
      </c>
      <c r="F54" s="112">
        <f t="shared" si="16"/>
        <v>285104.49711746484</v>
      </c>
      <c r="G54" s="112">
        <f t="shared" si="16"/>
        <v>12497.83567883125</v>
      </c>
      <c r="H54" s="112">
        <f t="shared" si="16"/>
        <v>11705.73291622756</v>
      </c>
      <c r="I54" s="112">
        <f t="shared" si="16"/>
        <v>309308.06571252365</v>
      </c>
      <c r="J54" s="112">
        <f t="shared" si="16"/>
        <v>128982.44409462124</v>
      </c>
      <c r="K54" s="112">
        <f t="shared" si="16"/>
        <v>39938.99207904806</v>
      </c>
      <c r="L54" s="112">
        <f t="shared" si="16"/>
        <v>73992.55153890976</v>
      </c>
      <c r="M54" s="112">
        <f t="shared" si="16"/>
        <v>109207.90941458107</v>
      </c>
      <c r="N54" s="112">
        <f t="shared" si="16"/>
        <v>1624</v>
      </c>
      <c r="O54" s="112">
        <f t="shared" si="16"/>
        <v>10059</v>
      </c>
      <c r="P54" s="112">
        <f t="shared" si="16"/>
        <v>20783</v>
      </c>
      <c r="Q54" s="112">
        <f t="shared" si="16"/>
        <v>246334.59775806655</v>
      </c>
      <c r="R54" s="112">
        <f t="shared" si="16"/>
        <v>693895.9628396838</v>
      </c>
      <c r="T54" s="10">
        <v>201545.233481106</v>
      </c>
      <c r="U54" s="10">
        <v>113890.655338406</v>
      </c>
      <c r="V54" s="10">
        <v>315435.888819511</v>
      </c>
      <c r="W54" s="10">
        <v>29916.5438018988</v>
      </c>
      <c r="X54" s="10">
        <v>356481.591399462</v>
      </c>
      <c r="Y54" s="10">
        <v>701835.024020873</v>
      </c>
    </row>
    <row r="55" spans="1:25" ht="14.25">
      <c r="A55" s="101"/>
      <c r="B55" s="101"/>
      <c r="C55" s="101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T55" s="10"/>
      <c r="U55" s="10"/>
      <c r="V55" s="10"/>
      <c r="W55" s="10"/>
      <c r="X55" s="10"/>
      <c r="Y55" s="10"/>
    </row>
    <row r="56" spans="1:25" ht="14.25">
      <c r="A56" s="101"/>
      <c r="B56" s="101"/>
      <c r="C56" s="117" t="s">
        <v>163</v>
      </c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T56" s="10"/>
      <c r="U56" s="10"/>
      <c r="V56" s="10"/>
      <c r="W56" s="10"/>
      <c r="X56" s="10"/>
      <c r="Y56" s="10"/>
    </row>
    <row r="57" spans="1:25" ht="14.25">
      <c r="A57" s="101">
        <v>1</v>
      </c>
      <c r="B57" s="101">
        <v>25</v>
      </c>
      <c r="C57" s="117" t="s">
        <v>423</v>
      </c>
      <c r="D57" s="113">
        <f>T57*$D$72/100</f>
        <v>0</v>
      </c>
      <c r="E57" s="113">
        <f>U57*$E$72/100</f>
        <v>0</v>
      </c>
      <c r="F57" s="112">
        <f>D57+E57</f>
        <v>0</v>
      </c>
      <c r="G57" s="112">
        <f>E57*$G$72/100</f>
        <v>0</v>
      </c>
      <c r="H57" s="112">
        <f>E57*$H$72/100</f>
        <v>0</v>
      </c>
      <c r="I57" s="112">
        <f>F57+G57+H57</f>
        <v>0</v>
      </c>
      <c r="J57" s="112">
        <f>W57*$J$72/100</f>
        <v>25.86945436252584</v>
      </c>
      <c r="K57" s="112">
        <f>Q57*$K$72/100</f>
        <v>13833.732893768567</v>
      </c>
      <c r="L57" s="112">
        <f>Q57*$L$72/100</f>
        <v>21127.882965028355</v>
      </c>
      <c r="M57" s="112">
        <f>Q57*$M$72/100-16</f>
        <v>31172.77961504186</v>
      </c>
      <c r="N57" s="112">
        <v>232</v>
      </c>
      <c r="O57" s="134">
        <v>1437</v>
      </c>
      <c r="P57" s="134">
        <v>2969</v>
      </c>
      <c r="Q57" s="112">
        <f>X57*$Q$72/100</f>
        <v>70350.90701965705</v>
      </c>
      <c r="R57" s="112">
        <f>SUM(I57:P57)</f>
        <v>70798.26492820132</v>
      </c>
      <c r="T57" s="10">
        <v>0</v>
      </c>
      <c r="U57" s="10">
        <v>0</v>
      </c>
      <c r="V57" s="10">
        <v>0</v>
      </c>
      <c r="W57" s="10">
        <v>6</v>
      </c>
      <c r="X57" s="10">
        <v>105079.771500608</v>
      </c>
      <c r="Y57" s="10">
        <v>105085.771500608</v>
      </c>
    </row>
    <row r="58" spans="1:25" ht="14.25">
      <c r="A58" s="101"/>
      <c r="B58" s="101"/>
      <c r="C58" s="101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T58" s="10"/>
      <c r="U58" s="10"/>
      <c r="V58" s="10"/>
      <c r="W58" s="10"/>
      <c r="X58" s="10"/>
      <c r="Y58" s="10"/>
    </row>
    <row r="59" spans="1:25" ht="14.25">
      <c r="A59" s="101"/>
      <c r="B59" s="101"/>
      <c r="C59" s="117" t="s">
        <v>171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T59" s="10"/>
      <c r="U59" s="10"/>
      <c r="V59" s="10"/>
      <c r="W59" s="10"/>
      <c r="X59" s="10"/>
      <c r="Y59" s="10"/>
    </row>
    <row r="60" spans="1:25" ht="14.25">
      <c r="A60" s="101">
        <v>1</v>
      </c>
      <c r="B60" s="101">
        <v>26</v>
      </c>
      <c r="C60" s="117" t="s">
        <v>424</v>
      </c>
      <c r="D60" s="113">
        <f>T60*$D$72/100</f>
        <v>0</v>
      </c>
      <c r="E60" s="113">
        <f>U60*$E$72/100</f>
        <v>0</v>
      </c>
      <c r="F60" s="112">
        <f>D60+E60</f>
        <v>0</v>
      </c>
      <c r="G60" s="112">
        <f>E60*$G$72/100</f>
        <v>0</v>
      </c>
      <c r="H60" s="112">
        <f>E60*$H$72/100</f>
        <v>0</v>
      </c>
      <c r="I60" s="112">
        <f>F60+G60+H60</f>
        <v>0</v>
      </c>
      <c r="J60" s="112">
        <f>W60*$J$72/100</f>
        <v>0</v>
      </c>
      <c r="K60" s="112">
        <f>Q60*$K$72/100-938</f>
        <v>6497.7442646758145</v>
      </c>
      <c r="L60" s="112">
        <f>Q60*$L$72/100</f>
        <v>11356.40942241397</v>
      </c>
      <c r="M60" s="112">
        <f>Q60*$M$72/100</f>
        <v>16764.22343308729</v>
      </c>
      <c r="N60" s="112">
        <v>232</v>
      </c>
      <c r="O60" s="134">
        <v>1437</v>
      </c>
      <c r="P60" s="134">
        <v>2969</v>
      </c>
      <c r="Q60" s="112">
        <f>X60*$Q$72/100</f>
        <v>37814.18633735461</v>
      </c>
      <c r="R60" s="112">
        <f>SUM(I60:P60)</f>
        <v>39256.37712017707</v>
      </c>
      <c r="T60" s="10">
        <v>0</v>
      </c>
      <c r="U60" s="10">
        <v>0</v>
      </c>
      <c r="V60" s="10">
        <v>0</v>
      </c>
      <c r="W60" s="10">
        <v>0</v>
      </c>
      <c r="X60" s="10">
        <v>56481.2342604251</v>
      </c>
      <c r="Y60" s="10">
        <v>56481.2342604251</v>
      </c>
    </row>
    <row r="61" spans="1:25" ht="14.25">
      <c r="A61" s="101"/>
      <c r="B61" s="101"/>
      <c r="C61" s="101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T61" s="10"/>
      <c r="U61" s="10"/>
      <c r="V61" s="10"/>
      <c r="W61" s="10"/>
      <c r="X61" s="10"/>
      <c r="Y61" s="10"/>
    </row>
    <row r="62" spans="1:25" ht="14.25">
      <c r="A62" s="101">
        <v>26</v>
      </c>
      <c r="B62" s="101"/>
      <c r="C62" s="101" t="s">
        <v>425</v>
      </c>
      <c r="D62" s="112">
        <f aca="true" t="shared" si="17" ref="D62:R62">D14+D16+D20+D23+D28+D33+D36+D38+D42+D44+D54+D57+D60</f>
        <v>396933.94190153736</v>
      </c>
      <c r="E62" s="112">
        <f t="shared" si="17"/>
        <v>228790.0100605907</v>
      </c>
      <c r="F62" s="112">
        <f t="shared" si="17"/>
        <v>625723.951962128</v>
      </c>
      <c r="G62" s="112">
        <f t="shared" si="17"/>
        <v>27690.26469947413</v>
      </c>
      <c r="H62" s="112">
        <f t="shared" si="17"/>
        <v>25935.586095445153</v>
      </c>
      <c r="I62" s="112">
        <f t="shared" si="17"/>
        <v>679349.8027570473</v>
      </c>
      <c r="J62" s="112">
        <f t="shared" si="17"/>
        <v>508854.86634947866</v>
      </c>
      <c r="K62" s="112">
        <f t="shared" si="17"/>
        <v>119518.06618399791</v>
      </c>
      <c r="L62" s="112">
        <f t="shared" si="17"/>
        <v>182583.32486254553</v>
      </c>
      <c r="M62" s="112">
        <f t="shared" si="17"/>
        <v>269492.5747970911</v>
      </c>
      <c r="N62" s="112">
        <f t="shared" si="17"/>
        <v>6277</v>
      </c>
      <c r="O62" s="112">
        <f t="shared" si="17"/>
        <v>38800</v>
      </c>
      <c r="P62" s="112">
        <f t="shared" si="17"/>
        <v>80175</v>
      </c>
      <c r="Q62" s="112">
        <f t="shared" si="17"/>
        <v>655801.0257533422</v>
      </c>
      <c r="R62" s="112">
        <f t="shared" si="17"/>
        <v>1885050.6349501605</v>
      </c>
      <c r="T62" s="10">
        <v>441122.213438203</v>
      </c>
      <c r="U62" s="10">
        <v>256930.930718991</v>
      </c>
      <c r="V62" s="10">
        <v>698053.144157194</v>
      </c>
      <c r="W62" s="10">
        <v>118020.785667024</v>
      </c>
      <c r="X62" s="10">
        <v>908014.632758987</v>
      </c>
      <c r="Y62" s="10">
        <v>1724088.5625832</v>
      </c>
    </row>
    <row r="63" spans="1:25" ht="14.25">
      <c r="A63" s="158"/>
      <c r="B63" s="158"/>
      <c r="C63" s="158"/>
      <c r="D63" s="159"/>
      <c r="E63" s="159"/>
      <c r="F63" s="159"/>
      <c r="G63" s="160"/>
      <c r="H63" s="160"/>
      <c r="I63" s="160"/>
      <c r="J63" s="159"/>
      <c r="K63" s="160"/>
      <c r="L63" s="160"/>
      <c r="M63" s="160"/>
      <c r="N63" s="160"/>
      <c r="O63" s="160"/>
      <c r="P63" s="160"/>
      <c r="Q63" s="159"/>
      <c r="R63" s="159"/>
      <c r="T63" s="10"/>
      <c r="U63" s="10"/>
      <c r="V63" s="10"/>
      <c r="W63" s="10"/>
      <c r="X63" s="10"/>
      <c r="Y63" s="10"/>
    </row>
    <row r="64" spans="1:25" ht="14.25">
      <c r="A64" s="174"/>
      <c r="B64" s="174"/>
      <c r="C64" s="174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7"/>
      <c r="T64" s="192">
        <v>-0.466744291770738</v>
      </c>
      <c r="U64" s="10">
        <v>0.110461393574951</v>
      </c>
      <c r="V64" s="10">
        <v>0</v>
      </c>
      <c r="W64" s="10">
        <v>0</v>
      </c>
      <c r="X64" s="10">
        <v>-0.234093288308941</v>
      </c>
      <c r="Y64" s="10">
        <v>-0.481091507710516</v>
      </c>
    </row>
    <row r="65" spans="1:25" ht="14.25">
      <c r="A65" s="161"/>
      <c r="B65" s="161"/>
      <c r="C65" s="161"/>
      <c r="D65" s="168"/>
      <c r="E65" s="168"/>
      <c r="F65" s="168"/>
      <c r="G65" s="166"/>
      <c r="H65" s="166"/>
      <c r="I65" s="166"/>
      <c r="J65" s="168"/>
      <c r="K65" s="166"/>
      <c r="L65" s="166"/>
      <c r="M65" s="166"/>
      <c r="N65" s="166"/>
      <c r="O65" s="166"/>
      <c r="P65" s="166"/>
      <c r="Q65" s="168"/>
      <c r="R65" s="168"/>
      <c r="S65" s="188"/>
      <c r="T65" s="192"/>
      <c r="U65" s="10"/>
      <c r="V65" s="10"/>
      <c r="W65" s="10"/>
      <c r="X65" s="10"/>
      <c r="Y65" s="10"/>
    </row>
    <row r="66" spans="1:25" s="11" customFormat="1" ht="14.25">
      <c r="A66" s="179"/>
      <c r="B66" s="179"/>
      <c r="C66" s="179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79"/>
      <c r="T66" s="193">
        <v>441121.680182495</v>
      </c>
      <c r="U66" s="8">
        <v>256930.820257598</v>
      </c>
      <c r="V66" s="8">
        <v>698052.500440092</v>
      </c>
      <c r="W66" s="8">
        <v>118020.676382345</v>
      </c>
      <c r="X66" s="8">
        <v>908014.866852276</v>
      </c>
      <c r="Y66" s="8">
        <v>1724089.04367471</v>
      </c>
    </row>
    <row r="67" spans="1:25" ht="14.25">
      <c r="A67" s="161"/>
      <c r="B67" s="161"/>
      <c r="C67" s="161"/>
      <c r="D67" s="167"/>
      <c r="E67" s="167"/>
      <c r="F67" s="167"/>
      <c r="G67" s="161"/>
      <c r="H67" s="161"/>
      <c r="I67" s="161"/>
      <c r="J67" s="167"/>
      <c r="K67" s="161"/>
      <c r="L67" s="161"/>
      <c r="M67" s="161"/>
      <c r="N67" s="161"/>
      <c r="O67" s="161"/>
      <c r="P67" s="161"/>
      <c r="Q67" s="167"/>
      <c r="R67" s="167"/>
      <c r="S67" s="188"/>
      <c r="T67" s="194"/>
      <c r="U67" s="6"/>
      <c r="V67" s="6"/>
      <c r="W67" s="6"/>
      <c r="X67" s="6"/>
      <c r="Y67" s="6"/>
    </row>
    <row r="68" spans="1:25" ht="14.25">
      <c r="A68" s="161"/>
      <c r="B68" s="161"/>
      <c r="C68" s="161"/>
      <c r="D68" s="178"/>
      <c r="E68" s="178"/>
      <c r="F68" s="178"/>
      <c r="G68" s="165"/>
      <c r="H68" s="165"/>
      <c r="I68" s="165"/>
      <c r="J68" s="178"/>
      <c r="K68" s="165"/>
      <c r="L68" s="165"/>
      <c r="M68" s="165"/>
      <c r="N68" s="165"/>
      <c r="O68" s="165"/>
      <c r="P68" s="165"/>
      <c r="Q68" s="178"/>
      <c r="R68" s="178"/>
      <c r="S68" s="188"/>
      <c r="T68" s="195">
        <v>123.288600258945</v>
      </c>
      <c r="U68" s="45">
        <v>130.109341660682</v>
      </c>
      <c r="V68" s="45">
        <v>126.449306448045</v>
      </c>
      <c r="W68" s="45">
        <v>109.044161045111</v>
      </c>
      <c r="X68" s="45">
        <v>132.875233494002</v>
      </c>
      <c r="Y68" s="45">
        <v>127.524546566883</v>
      </c>
    </row>
    <row r="69" spans="1:19" ht="14.25">
      <c r="A69" s="163"/>
      <c r="B69" s="163"/>
      <c r="C69" s="163"/>
      <c r="D69" s="167"/>
      <c r="E69" s="167"/>
      <c r="F69" s="167"/>
      <c r="G69" s="163"/>
      <c r="H69" s="163"/>
      <c r="I69" s="163"/>
      <c r="J69" s="167"/>
      <c r="K69" s="163"/>
      <c r="L69" s="163"/>
      <c r="M69" s="163"/>
      <c r="N69" s="163"/>
      <c r="O69" s="163"/>
      <c r="P69" s="163"/>
      <c r="Q69" s="167"/>
      <c r="R69" s="167"/>
      <c r="S69" s="188"/>
    </row>
    <row r="70" spans="1:25" s="59" customFormat="1" ht="14.25">
      <c r="A70" s="189"/>
      <c r="B70" s="189"/>
      <c r="C70" s="189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1"/>
      <c r="T70" s="60"/>
      <c r="U70" s="60"/>
      <c r="V70" s="60"/>
      <c r="W70" s="60"/>
      <c r="X70" s="60"/>
      <c r="Y70" s="60"/>
    </row>
    <row r="71" spans="1:19" ht="14.25">
      <c r="A71" s="163"/>
      <c r="B71" s="163"/>
      <c r="C71" s="163"/>
      <c r="D71" s="167"/>
      <c r="E71" s="167"/>
      <c r="F71" s="167"/>
      <c r="G71" s="163"/>
      <c r="H71" s="163"/>
      <c r="I71" s="163"/>
      <c r="J71" s="167"/>
      <c r="K71" s="163"/>
      <c r="L71" s="163"/>
      <c r="M71" s="163"/>
      <c r="N71" s="163"/>
      <c r="O71" s="163"/>
      <c r="P71" s="163"/>
      <c r="Q71" s="167"/>
      <c r="R71" s="167"/>
      <c r="S71" s="188"/>
    </row>
    <row r="72" spans="1:19" ht="14.25">
      <c r="A72" s="163"/>
      <c r="B72" s="163"/>
      <c r="C72" s="163"/>
      <c r="D72" s="196"/>
      <c r="E72" s="196"/>
      <c r="F72" s="165"/>
      <c r="G72" s="196"/>
      <c r="H72" s="196"/>
      <c r="I72" s="161"/>
      <c r="J72" s="196"/>
      <c r="K72" s="165"/>
      <c r="L72" s="165"/>
      <c r="M72" s="165"/>
      <c r="N72" s="197"/>
      <c r="O72" s="197"/>
      <c r="P72" s="197"/>
      <c r="Q72" s="196"/>
      <c r="R72" s="161"/>
      <c r="S72" s="188"/>
    </row>
    <row r="73" spans="1:19" ht="14.25">
      <c r="A73" s="163"/>
      <c r="B73" s="163"/>
      <c r="C73" s="163"/>
      <c r="D73" s="167"/>
      <c r="E73" s="167"/>
      <c r="F73" s="167"/>
      <c r="G73" s="163"/>
      <c r="H73" s="163"/>
      <c r="I73" s="163"/>
      <c r="J73" s="167"/>
      <c r="K73" s="163"/>
      <c r="L73" s="163"/>
      <c r="M73" s="163"/>
      <c r="N73" s="163"/>
      <c r="O73" s="163"/>
      <c r="P73" s="163"/>
      <c r="Q73" s="167"/>
      <c r="R73" s="167"/>
      <c r="S73" s="188"/>
    </row>
    <row r="74" spans="1:19" ht="14.25">
      <c r="A74" s="163"/>
      <c r="B74" s="163"/>
      <c r="C74" s="163"/>
      <c r="D74" s="167"/>
      <c r="E74" s="167"/>
      <c r="F74" s="167"/>
      <c r="G74" s="163"/>
      <c r="H74" s="163"/>
      <c r="I74" s="163"/>
      <c r="J74" s="167"/>
      <c r="K74" s="163"/>
      <c r="L74" s="163"/>
      <c r="M74" s="163"/>
      <c r="N74" s="163"/>
      <c r="O74" s="163"/>
      <c r="P74" s="163"/>
      <c r="Q74" s="167"/>
      <c r="R74" s="167"/>
      <c r="S74" s="188"/>
    </row>
    <row r="75" spans="1:19" ht="14.25">
      <c r="A75" s="163"/>
      <c r="B75" s="163"/>
      <c r="C75" s="163"/>
      <c r="D75" s="167"/>
      <c r="E75" s="167"/>
      <c r="F75" s="167"/>
      <c r="G75" s="163"/>
      <c r="H75" s="163"/>
      <c r="I75" s="163"/>
      <c r="J75" s="167"/>
      <c r="K75" s="163"/>
      <c r="L75" s="163"/>
      <c r="M75" s="163"/>
      <c r="N75" s="184"/>
      <c r="O75" s="184"/>
      <c r="P75" s="184"/>
      <c r="Q75" s="167"/>
      <c r="R75" s="167"/>
      <c r="S75" s="188"/>
    </row>
    <row r="76" spans="1:19" ht="14.25">
      <c r="A76" s="163"/>
      <c r="B76" s="163"/>
      <c r="C76" s="163"/>
      <c r="D76" s="167"/>
      <c r="E76" s="167"/>
      <c r="F76" s="167"/>
      <c r="G76" s="163"/>
      <c r="H76" s="163"/>
      <c r="I76" s="163"/>
      <c r="J76" s="167"/>
      <c r="K76" s="163"/>
      <c r="L76" s="163"/>
      <c r="M76" s="163"/>
      <c r="N76" s="163"/>
      <c r="O76" s="163"/>
      <c r="P76" s="163"/>
      <c r="Q76" s="167"/>
      <c r="R76" s="167"/>
      <c r="S76" s="188"/>
    </row>
    <row r="77" spans="1:19" ht="14.25">
      <c r="A77" s="163"/>
      <c r="B77" s="163"/>
      <c r="C77" s="163"/>
      <c r="D77" s="167"/>
      <c r="E77" s="167"/>
      <c r="F77" s="167"/>
      <c r="G77" s="163"/>
      <c r="H77" s="163"/>
      <c r="I77" s="163"/>
      <c r="J77" s="167"/>
      <c r="K77" s="163"/>
      <c r="L77" s="163"/>
      <c r="M77" s="163"/>
      <c r="N77" s="163"/>
      <c r="O77" s="163"/>
      <c r="P77" s="163"/>
      <c r="Q77" s="167"/>
      <c r="R77" s="167"/>
      <c r="S77" s="188"/>
    </row>
  </sheetData>
  <sheetProtection selectLockedCells="1" selectUnlockedCells="1"/>
  <printOptions/>
  <pageMargins left="0" right="0" top="0.3944444444444445" bottom="0.3944444444444445" header="0" footer="0"/>
  <pageSetup firstPageNumber="1" useFirstPageNumber="1" horizontalDpi="300" verticalDpi="300" orientation="landscape" pageOrder="overThenDown" paperSize="9" scale="5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X52"/>
  <sheetViews>
    <sheetView view="pageBreakPreview" zoomScale="60" zoomScaleNormal="85" zoomScalePageLayoutView="0" workbookViewId="0" topLeftCell="A1">
      <pane xSplit="3" ySplit="7" topLeftCell="D8" activePane="bottomRight" state="frozen"/>
      <selection pane="topLeft" activeCell="A1" sqref="A1"/>
      <selection pane="topRight" activeCell="I1" sqref="I1"/>
      <selection pane="bottomLeft" activeCell="A14" sqref="A14"/>
      <selection pane="bottomRight" activeCell="F50" sqref="F50"/>
    </sheetView>
  </sheetViews>
  <sheetFormatPr defaultColWidth="9.00390625" defaultRowHeight="14.25"/>
  <cols>
    <col min="1" max="1" width="5.25390625" style="0" customWidth="1"/>
    <col min="2" max="2" width="4.75390625" style="0" customWidth="1"/>
    <col min="3" max="3" width="27.375" style="0" customWidth="1"/>
    <col min="4" max="6" width="10.75390625" style="12" customWidth="1"/>
    <col min="7" max="9" width="10.75390625" style="0" customWidth="1"/>
    <col min="10" max="10" width="10.75390625" style="12" customWidth="1"/>
    <col min="11" max="16" width="10.75390625" style="0" customWidth="1"/>
    <col min="17" max="17" width="8.25390625" style="12" customWidth="1"/>
    <col min="18" max="18" width="2.75390625" style="1" customWidth="1"/>
    <col min="19" max="24" width="10.75390625" style="2" customWidth="1"/>
  </cols>
  <sheetData>
    <row r="1" spans="1:24" ht="18">
      <c r="A1" s="101"/>
      <c r="B1" s="101"/>
      <c r="C1" s="101"/>
      <c r="D1" s="98" t="s">
        <v>51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32" t="s">
        <v>528</v>
      </c>
      <c r="S1" s="45" t="s">
        <v>205</v>
      </c>
      <c r="T1" s="45"/>
      <c r="U1" s="45"/>
      <c r="V1" s="45"/>
      <c r="W1" s="45"/>
      <c r="X1" s="48" t="s">
        <v>426</v>
      </c>
    </row>
    <row r="2" spans="1:24" ht="14.25">
      <c r="A2" s="101"/>
      <c r="B2" s="101"/>
      <c r="C2" s="101"/>
      <c r="D2" s="126"/>
      <c r="E2" s="126" t="s">
        <v>48</v>
      </c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S2" s="45"/>
      <c r="T2" s="45" t="s">
        <v>48</v>
      </c>
      <c r="U2" s="45"/>
      <c r="V2" s="45"/>
      <c r="W2" s="45"/>
      <c r="X2" s="45"/>
    </row>
    <row r="3" spans="1:24" ht="14.25">
      <c r="A3" s="101"/>
      <c r="B3" s="101"/>
      <c r="C3" s="101" t="s">
        <v>427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S3" s="45"/>
      <c r="T3" s="45"/>
      <c r="U3" s="45"/>
      <c r="V3" s="45"/>
      <c r="W3" s="45"/>
      <c r="X3" s="45"/>
    </row>
    <row r="4" spans="1:24" ht="14.25">
      <c r="A4" s="101"/>
      <c r="B4" s="101"/>
      <c r="C4" s="101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S4" s="45"/>
      <c r="T4" s="45"/>
      <c r="U4" s="45"/>
      <c r="V4" s="45"/>
      <c r="W4" s="45"/>
      <c r="X4" s="45"/>
    </row>
    <row r="5" spans="1:24" ht="54">
      <c r="A5" s="101"/>
      <c r="B5" s="117" t="s">
        <v>54</v>
      </c>
      <c r="C5" s="101" t="s">
        <v>55</v>
      </c>
      <c r="D5" s="126" t="s">
        <v>3</v>
      </c>
      <c r="E5" s="132" t="s">
        <v>4</v>
      </c>
      <c r="F5" s="126" t="s">
        <v>5</v>
      </c>
      <c r="G5" s="133" t="s">
        <v>6</v>
      </c>
      <c r="H5" s="133" t="s">
        <v>7</v>
      </c>
      <c r="I5" s="133" t="s">
        <v>8</v>
      </c>
      <c r="J5" s="133" t="s">
        <v>9</v>
      </c>
      <c r="K5" s="133" t="s">
        <v>10</v>
      </c>
      <c r="L5" s="133" t="s">
        <v>11</v>
      </c>
      <c r="M5" s="133" t="s">
        <v>12</v>
      </c>
      <c r="N5" s="133" t="s">
        <v>13</v>
      </c>
      <c r="O5" s="133" t="s">
        <v>14</v>
      </c>
      <c r="P5" s="133" t="s">
        <v>15</v>
      </c>
      <c r="Q5" s="126" t="s">
        <v>17</v>
      </c>
      <c r="S5" s="45" t="s">
        <v>3</v>
      </c>
      <c r="T5" s="48" t="s">
        <v>4</v>
      </c>
      <c r="U5" s="45" t="s">
        <v>5</v>
      </c>
      <c r="V5" s="45" t="s">
        <v>18</v>
      </c>
      <c r="W5" s="45" t="s">
        <v>16</v>
      </c>
      <c r="X5" s="45" t="s">
        <v>17</v>
      </c>
    </row>
    <row r="6" spans="1:24" ht="14.25">
      <c r="A6" s="101"/>
      <c r="B6" s="101" t="s">
        <v>56</v>
      </c>
      <c r="C6" s="101" t="s">
        <v>57</v>
      </c>
      <c r="D6" s="126" t="s">
        <v>19</v>
      </c>
      <c r="E6" s="126" t="s">
        <v>19</v>
      </c>
      <c r="F6" s="126" t="s">
        <v>19</v>
      </c>
      <c r="G6" s="126"/>
      <c r="H6" s="126"/>
      <c r="I6" s="126"/>
      <c r="J6" s="126" t="s">
        <v>20</v>
      </c>
      <c r="K6" s="126"/>
      <c r="L6" s="126"/>
      <c r="M6" s="126"/>
      <c r="N6" s="126"/>
      <c r="O6" s="126"/>
      <c r="P6" s="126"/>
      <c r="Q6" s="126"/>
      <c r="S6" s="45" t="s">
        <v>19</v>
      </c>
      <c r="T6" s="45" t="s">
        <v>19</v>
      </c>
      <c r="U6" s="45" t="s">
        <v>19</v>
      </c>
      <c r="V6" s="45" t="s">
        <v>20</v>
      </c>
      <c r="W6" s="45" t="s">
        <v>21</v>
      </c>
      <c r="X6" s="45"/>
    </row>
    <row r="7" spans="1:24" ht="14.25">
      <c r="A7" s="101"/>
      <c r="B7" s="101"/>
      <c r="C7" s="101"/>
      <c r="D7" s="101" t="s">
        <v>22</v>
      </c>
      <c r="E7" s="101" t="s">
        <v>22</v>
      </c>
      <c r="F7" s="101" t="s">
        <v>22</v>
      </c>
      <c r="G7" s="101" t="s">
        <v>22</v>
      </c>
      <c r="H7" s="101" t="s">
        <v>22</v>
      </c>
      <c r="I7" s="101" t="s">
        <v>22</v>
      </c>
      <c r="J7" s="101" t="s">
        <v>22</v>
      </c>
      <c r="K7" s="101" t="s">
        <v>22</v>
      </c>
      <c r="L7" s="101" t="s">
        <v>22</v>
      </c>
      <c r="M7" s="101" t="s">
        <v>22</v>
      </c>
      <c r="N7" s="101" t="s">
        <v>22</v>
      </c>
      <c r="O7" s="101" t="s">
        <v>22</v>
      </c>
      <c r="P7" s="101" t="s">
        <v>22</v>
      </c>
      <c r="Q7" s="101" t="s">
        <v>22</v>
      </c>
      <c r="S7" s="45" t="s">
        <v>23</v>
      </c>
      <c r="T7" s="45" t="s">
        <v>23</v>
      </c>
      <c r="U7" s="45" t="s">
        <v>23</v>
      </c>
      <c r="V7" s="45" t="s">
        <v>23</v>
      </c>
      <c r="W7" s="45" t="s">
        <v>23</v>
      </c>
      <c r="X7" s="45" t="s">
        <v>23</v>
      </c>
    </row>
    <row r="8" spans="1:24" ht="14.25">
      <c r="A8" s="101"/>
      <c r="B8" s="101"/>
      <c r="C8" s="101" t="s">
        <v>59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S8" s="6"/>
      <c r="T8" s="6"/>
      <c r="U8" s="6"/>
      <c r="V8" s="6"/>
      <c r="W8" s="6"/>
      <c r="X8" s="6"/>
    </row>
    <row r="9" spans="1:24" s="62" customFormat="1" ht="14.25">
      <c r="A9" s="101"/>
      <c r="B9" s="101"/>
      <c r="C9" s="117" t="s">
        <v>428</v>
      </c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S9" s="61">
        <v>70639.7810886157</v>
      </c>
      <c r="T9" s="61">
        <v>27469.2816817221</v>
      </c>
      <c r="U9" s="61">
        <v>98109.0627703378</v>
      </c>
      <c r="V9" s="61">
        <v>1026.62444294928</v>
      </c>
      <c r="W9" s="61">
        <v>96257.798849294</v>
      </c>
      <c r="X9" s="61">
        <v>195394.486062581</v>
      </c>
    </row>
    <row r="10" spans="1:24" ht="14.25">
      <c r="A10" s="101"/>
      <c r="B10" s="101">
        <v>1</v>
      </c>
      <c r="C10" s="117" t="s">
        <v>429</v>
      </c>
      <c r="D10" s="112">
        <f>S10*$D$47/100+10000</f>
        <v>57798.02124725325</v>
      </c>
      <c r="E10" s="112">
        <v>10143</v>
      </c>
      <c r="F10" s="112">
        <f>D10+E10</f>
        <v>67941.02124725326</v>
      </c>
      <c r="G10" s="113">
        <f>E10*$G$47/100</f>
        <v>1227.7761899323068</v>
      </c>
      <c r="H10" s="113">
        <f>E10*$H$47/100</f>
        <v>1149.985620860027</v>
      </c>
      <c r="I10" s="112">
        <f>F10+G10+H10</f>
        <v>70318.78305804559</v>
      </c>
      <c r="J10" s="112">
        <f>V10*$J$47/100</f>
        <v>8858.202711232268</v>
      </c>
      <c r="K10" s="113">
        <f>#REF!*$K$47/100+2000</f>
        <v>11745.461786856053</v>
      </c>
      <c r="L10" s="113">
        <f>#REF!*$L$47/100+2000</f>
        <v>16883.978001743788</v>
      </c>
      <c r="M10" s="113">
        <f>#REF!*$M$47/100</f>
        <v>21971.586574002737</v>
      </c>
      <c r="N10" s="112">
        <v>418.53333333333336</v>
      </c>
      <c r="O10" s="112">
        <v>2586.6666666666665</v>
      </c>
      <c r="P10" s="112">
        <v>5345</v>
      </c>
      <c r="Q10" s="112">
        <f>I10+J10+K10+L10+M10+N10+O10+P10</f>
        <v>138128.21213188043</v>
      </c>
      <c r="S10" s="10">
        <v>53105.5884833198</v>
      </c>
      <c r="T10" s="10">
        <v>9148.29901842823</v>
      </c>
      <c r="U10" s="10">
        <v>62253.887501748</v>
      </c>
      <c r="V10" s="10">
        <v>2054.51632348245</v>
      </c>
      <c r="W10" s="10">
        <v>74025.6375914289</v>
      </c>
      <c r="X10" s="10">
        <v>138335.041416659</v>
      </c>
    </row>
    <row r="11" spans="1:24" ht="14.25">
      <c r="A11" s="101"/>
      <c r="B11" s="101">
        <v>2</v>
      </c>
      <c r="C11" s="117" t="s">
        <v>430</v>
      </c>
      <c r="D11" s="112">
        <f>S11*$D$47/100+10000</f>
        <v>84178.73222534267</v>
      </c>
      <c r="E11" s="112">
        <f>T11*$E$47/100</f>
        <v>12380.772253311587</v>
      </c>
      <c r="F11" s="112">
        <f>D11+E11</f>
        <v>96559.50447865426</v>
      </c>
      <c r="G11" s="113">
        <f>E11*$G$47/100</f>
        <v>1498.6510288465465</v>
      </c>
      <c r="H11" s="113">
        <f>E11*$H$47/100</f>
        <v>1403.6981234793573</v>
      </c>
      <c r="I11" s="112">
        <f>F11+G11+H11</f>
        <v>99461.85363098017</v>
      </c>
      <c r="J11" s="112">
        <f>V11*$J$47/100</f>
        <v>130460.81645170554</v>
      </c>
      <c r="K11" s="113">
        <f>#REF!*$K$47/100</f>
        <v>12264.702108543599</v>
      </c>
      <c r="L11" s="113">
        <f>#REF!*$L$47/100+2000</f>
        <v>20731.54503850295</v>
      </c>
      <c r="M11" s="113">
        <f>#REF!*$M$47/100</f>
        <v>27651.328390171024</v>
      </c>
      <c r="N11" s="112">
        <v>418.53333333333336</v>
      </c>
      <c r="O11" s="112">
        <v>2586.6666666666665</v>
      </c>
      <c r="P11" s="112">
        <v>5345</v>
      </c>
      <c r="Q11" s="112">
        <f>I11+J11+K11+L11+M11+N11+O11+P11</f>
        <v>298920.44561990333</v>
      </c>
      <c r="S11" s="10">
        <v>82415.6549786001</v>
      </c>
      <c r="T11" s="10">
        <v>13909.3692390596</v>
      </c>
      <c r="U11" s="10">
        <v>96325.0242176597</v>
      </c>
      <c r="V11" s="10">
        <v>30258.2686028406</v>
      </c>
      <c r="W11" s="10">
        <v>93161.5569698701</v>
      </c>
      <c r="X11" s="10">
        <v>219744.84979037</v>
      </c>
    </row>
    <row r="12" spans="1:24" ht="14.25">
      <c r="A12" s="101"/>
      <c r="B12" s="101">
        <v>3</v>
      </c>
      <c r="C12" s="117" t="s">
        <v>431</v>
      </c>
      <c r="D12" s="112">
        <f>S12*$D$47/100+5000</f>
        <v>73824.70863892754</v>
      </c>
      <c r="E12" s="112">
        <f>T12*$E$47/100</f>
        <v>12210.776082535458</v>
      </c>
      <c r="F12" s="112">
        <f>D12+E12</f>
        <v>86035.484721463</v>
      </c>
      <c r="G12" s="113">
        <f>E12*$G$47/100</f>
        <v>1478.0735615431256</v>
      </c>
      <c r="H12" s="113">
        <f>E12*$H$47/100</f>
        <v>1384.424422208154</v>
      </c>
      <c r="I12" s="112">
        <f>F12+G12+H12</f>
        <v>88897.98270521426</v>
      </c>
      <c r="J12" s="112">
        <f>V12*$J$47/100+1000</f>
        <v>9847.273404987673</v>
      </c>
      <c r="K12" s="113">
        <f>#REF!*$K$47/100+500</f>
        <v>10208.310980833436</v>
      </c>
      <c r="L12" s="113">
        <f>#REF!*$L$47/100+2000</f>
        <v>16827.238588909247</v>
      </c>
      <c r="M12" s="113">
        <f>#REF!*$M$47/100</f>
        <v>21887.828393151747</v>
      </c>
      <c r="N12" s="112">
        <v>418.53333333333336</v>
      </c>
      <c r="O12" s="112">
        <v>2586.6666666666665</v>
      </c>
      <c r="P12" s="112">
        <v>5345</v>
      </c>
      <c r="Q12" s="112">
        <f>I12+J12+K12+L12+M12+N12+O12+P12</f>
        <v>156018.83407309637</v>
      </c>
      <c r="S12" s="10">
        <v>76467.1122169792</v>
      </c>
      <c r="T12" s="10">
        <v>13718.3844232361</v>
      </c>
      <c r="U12" s="10">
        <v>90185.4966402154</v>
      </c>
      <c r="V12" s="10">
        <v>2051.98144831467</v>
      </c>
      <c r="W12" s="10">
        <v>73743.4434622016</v>
      </c>
      <c r="X12" s="10">
        <v>165979.921550732</v>
      </c>
    </row>
    <row r="13" spans="1:24" ht="14.25">
      <c r="A13" s="101"/>
      <c r="B13" s="101">
        <v>4</v>
      </c>
      <c r="C13" s="101" t="s">
        <v>432</v>
      </c>
      <c r="D13" s="112">
        <f>S13*$D$47/100+5000</f>
        <v>49210.28665269579</v>
      </c>
      <c r="E13" s="112">
        <v>9938</v>
      </c>
      <c r="F13" s="112">
        <f>D13+E13</f>
        <v>59148.28665269579</v>
      </c>
      <c r="G13" s="113">
        <f>E13*$G$47/100</f>
        <v>1202.9616262986558</v>
      </c>
      <c r="H13" s="113">
        <f>E13*$H$47/100</f>
        <v>1126.7432810910923</v>
      </c>
      <c r="I13" s="112">
        <f>F13+G13+H13</f>
        <v>61477.99156008553</v>
      </c>
      <c r="J13" s="112">
        <f>V13*$J$47/100+1000</f>
        <v>9847.273404987673</v>
      </c>
      <c r="K13" s="113">
        <f>#REF!*$K$47/100+500</f>
        <v>3405.2969493071905</v>
      </c>
      <c r="L13" s="113">
        <f>#REF!*$L$47/100+2000</f>
        <v>6437.180795305527</v>
      </c>
      <c r="M13" s="113">
        <f>#REF!*$M$47/100+5000</f>
        <v>11550.124031165302</v>
      </c>
      <c r="N13" s="112">
        <v>418.53333333333336</v>
      </c>
      <c r="O13" s="112">
        <v>2586.6666666666665</v>
      </c>
      <c r="P13" s="112">
        <v>5345</v>
      </c>
      <c r="Q13" s="112">
        <f>I13+J13+K13+L13+M13+N13+O13+P13</f>
        <v>101068.06674085124</v>
      </c>
      <c r="S13" s="10">
        <v>49119.4662131037</v>
      </c>
      <c r="T13" s="10">
        <v>7794.95225115298</v>
      </c>
      <c r="U13" s="10">
        <v>56914.4184642567</v>
      </c>
      <c r="V13" s="10">
        <v>2051.98144831467</v>
      </c>
      <c r="W13" s="10">
        <v>22068.3702597822</v>
      </c>
      <c r="X13" s="10">
        <v>81033.7701723535</v>
      </c>
    </row>
    <row r="14" spans="1:24" ht="14.25">
      <c r="A14" s="101"/>
      <c r="B14" s="101">
        <v>5</v>
      </c>
      <c r="C14" s="117" t="s">
        <v>433</v>
      </c>
      <c r="D14" s="112">
        <f>S14*$D$47/100</f>
        <v>99538.27943590688</v>
      </c>
      <c r="E14" s="112">
        <v>17240</v>
      </c>
      <c r="F14" s="112">
        <f>D14+E14</f>
        <v>116778.27943590688</v>
      </c>
      <c r="G14" s="113">
        <f>E14*$G$47/100</f>
        <v>2086.84427826412</v>
      </c>
      <c r="H14" s="113">
        <f>E14*$H$47/100</f>
        <v>1954.6240859338327</v>
      </c>
      <c r="I14" s="112">
        <f>F14+G14+H14</f>
        <v>120819.74780010483</v>
      </c>
      <c r="J14" s="112">
        <f>V14*$J$47/100</f>
        <v>86016.79260812014</v>
      </c>
      <c r="K14" s="113">
        <f>#REF!*$K$47/100+200</f>
        <v>17533.82304539457</v>
      </c>
      <c r="L14" s="113">
        <f>#REF!*$L$47/100+1000</f>
        <v>27473.47519660261</v>
      </c>
      <c r="M14" s="113">
        <f>#REF!*$M$47/100</f>
        <v>39079.891956889565</v>
      </c>
      <c r="N14" s="112">
        <v>418.53333333333336</v>
      </c>
      <c r="O14" s="112">
        <v>2586.6666666666665</v>
      </c>
      <c r="P14" s="112">
        <v>5345</v>
      </c>
      <c r="Q14" s="112">
        <f>I14+J14+K14+L14+M14+N14+O14+P14</f>
        <v>299273.9306071117</v>
      </c>
      <c r="S14" s="10">
        <v>110591.166080222</v>
      </c>
      <c r="T14" s="10">
        <v>13750.897258486</v>
      </c>
      <c r="U14" s="10">
        <v>124342.063338708</v>
      </c>
      <c r="V14" s="10">
        <v>19950.1987330795</v>
      </c>
      <c r="W14" s="10">
        <v>131666.136597339</v>
      </c>
      <c r="X14" s="10">
        <v>275958.398669126</v>
      </c>
    </row>
    <row r="15" spans="1:24" ht="14.25">
      <c r="A15" s="101">
        <v>5</v>
      </c>
      <c r="B15" s="101"/>
      <c r="C15" s="101" t="s">
        <v>78</v>
      </c>
      <c r="D15" s="112">
        <f aca="true" t="shared" si="0" ref="D15:Q15">SUM(D10:D14)</f>
        <v>364550.0282001261</v>
      </c>
      <c r="E15" s="112">
        <f t="shared" si="0"/>
        <v>61912.548335847045</v>
      </c>
      <c r="F15" s="112">
        <f t="shared" si="0"/>
        <v>426462.57653597323</v>
      </c>
      <c r="G15" s="112">
        <f t="shared" si="0"/>
        <v>7494.306684884754</v>
      </c>
      <c r="H15" s="112">
        <f t="shared" si="0"/>
        <v>7019.475533572463</v>
      </c>
      <c r="I15" s="112">
        <f t="shared" si="0"/>
        <v>440976.3587544304</v>
      </c>
      <c r="J15" s="112">
        <f t="shared" si="0"/>
        <v>245030.35858103327</v>
      </c>
      <c r="K15" s="112">
        <f t="shared" si="0"/>
        <v>55157.594870934845</v>
      </c>
      <c r="L15" s="112">
        <f t="shared" si="0"/>
        <v>88353.41762106412</v>
      </c>
      <c r="M15" s="112">
        <f t="shared" si="0"/>
        <v>122140.75934538037</v>
      </c>
      <c r="N15" s="112">
        <f t="shared" si="0"/>
        <v>2092.666666666667</v>
      </c>
      <c r="O15" s="112">
        <f t="shared" si="0"/>
        <v>12933.333333333332</v>
      </c>
      <c r="P15" s="112">
        <f t="shared" si="0"/>
        <v>26725</v>
      </c>
      <c r="Q15" s="112">
        <f t="shared" si="0"/>
        <v>993409.489172843</v>
      </c>
      <c r="S15" s="10">
        <v>442338.769060841</v>
      </c>
      <c r="T15" s="10">
        <v>85790.183872085</v>
      </c>
      <c r="U15" s="10">
        <v>528128.952932926</v>
      </c>
      <c r="V15" s="10">
        <v>57393.5709989811</v>
      </c>
      <c r="W15" s="10">
        <v>490922.943729915</v>
      </c>
      <c r="X15" s="10">
        <v>1076446.46766182</v>
      </c>
    </row>
    <row r="16" spans="1:24" ht="14.25">
      <c r="A16" s="101"/>
      <c r="B16" s="101"/>
      <c r="C16" s="101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S16" s="10"/>
      <c r="T16" s="10"/>
      <c r="U16" s="10"/>
      <c r="V16" s="10"/>
      <c r="W16" s="10"/>
      <c r="X16" s="10"/>
    </row>
    <row r="17" spans="1:24" ht="14.25">
      <c r="A17" s="101"/>
      <c r="B17" s="101"/>
      <c r="C17" s="101" t="s">
        <v>434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S17" s="10"/>
      <c r="T17" s="10"/>
      <c r="U17" s="10"/>
      <c r="V17" s="10"/>
      <c r="W17" s="10"/>
      <c r="X17" s="10"/>
    </row>
    <row r="18" spans="1:24" ht="14.25">
      <c r="A18" s="101">
        <v>1</v>
      </c>
      <c r="B18" s="101">
        <v>6</v>
      </c>
      <c r="C18" s="101" t="s">
        <v>435</v>
      </c>
      <c r="D18" s="112">
        <f>S18*$D$47/100</f>
        <v>407.707327939675</v>
      </c>
      <c r="E18" s="112">
        <f>T18*$E$47/100</f>
        <v>3906.8945550474773</v>
      </c>
      <c r="F18" s="112">
        <f>D18+E18</f>
        <v>4314.601882987152</v>
      </c>
      <c r="G18" s="113">
        <f>E18*$G$47/100</f>
        <v>472.9165051033685</v>
      </c>
      <c r="H18" s="113">
        <f>E18*$H$47/100</f>
        <v>442.9530277551939</v>
      </c>
      <c r="I18" s="112">
        <f>F18+G18+H18</f>
        <v>5230.471415845715</v>
      </c>
      <c r="J18" s="112">
        <f>V18*$J$47/100</f>
        <v>2614.416382303179</v>
      </c>
      <c r="K18" s="113">
        <f>#REF!*$K$47/100</f>
        <v>499.53054590064625</v>
      </c>
      <c r="L18" s="113">
        <f>#REF!*$L$47/100+500</f>
        <v>1262.9193791937141</v>
      </c>
      <c r="M18" s="113">
        <f>#REF!*$M$47/100+5000</f>
        <v>6126.214321666912</v>
      </c>
      <c r="N18" s="112">
        <v>418.53333333333336</v>
      </c>
      <c r="O18" s="112">
        <v>2586.6666666666665</v>
      </c>
      <c r="P18" s="112">
        <v>5345</v>
      </c>
      <c r="Q18" s="112">
        <f>I18+J18+K18+L18+M18+N18+O18+P18</f>
        <v>24083.752044910165</v>
      </c>
      <c r="S18" s="10">
        <v>452.979789</v>
      </c>
      <c r="T18" s="10">
        <v>4389.26085</v>
      </c>
      <c r="U18" s="10">
        <v>4842.240639</v>
      </c>
      <c r="V18" s="10">
        <v>606.37144</v>
      </c>
      <c r="W18" s="10">
        <v>3794.3884</v>
      </c>
      <c r="X18" s="10">
        <v>9242.000479</v>
      </c>
    </row>
    <row r="19" spans="1:24" ht="14.25">
      <c r="A19" s="101"/>
      <c r="B19" s="101"/>
      <c r="C19" s="101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S19" s="10"/>
      <c r="T19" s="10"/>
      <c r="U19" s="10"/>
      <c r="V19" s="10"/>
      <c r="W19" s="10"/>
      <c r="X19" s="10"/>
    </row>
    <row r="20" spans="1:24" ht="14.25">
      <c r="A20" s="101">
        <v>1</v>
      </c>
      <c r="B20" s="101">
        <v>7</v>
      </c>
      <c r="C20" s="101" t="s">
        <v>436</v>
      </c>
      <c r="D20" s="112">
        <v>104</v>
      </c>
      <c r="E20" s="112">
        <f>T20*$E$47/100</f>
        <v>0</v>
      </c>
      <c r="F20" s="112">
        <f>D20+E20</f>
        <v>104</v>
      </c>
      <c r="G20" s="113">
        <f>E20*$G$47/100</f>
        <v>0</v>
      </c>
      <c r="H20" s="113">
        <f>E20*$H$47/100</f>
        <v>0</v>
      </c>
      <c r="I20" s="112">
        <f>F20+G20+H20</f>
        <v>104</v>
      </c>
      <c r="J20" s="112">
        <f>V20*$J$47/100+50</f>
        <v>75.86945436252584</v>
      </c>
      <c r="K20" s="113">
        <f>#REF!*$K$47/100</f>
        <v>0</v>
      </c>
      <c r="L20" s="113">
        <f>#REF!*$L$47/100</f>
        <v>0</v>
      </c>
      <c r="M20" s="113">
        <f>#REF!*$M$47/100</f>
        <v>0</v>
      </c>
      <c r="N20" s="112">
        <v>418.53333333333336</v>
      </c>
      <c r="O20" s="112">
        <v>2586.6666666666665</v>
      </c>
      <c r="P20" s="112">
        <v>5345</v>
      </c>
      <c r="Q20" s="112">
        <f>I20+J20+K20+L20+M20+N20+O20+P20</f>
        <v>8530.069454362525</v>
      </c>
      <c r="S20" s="10">
        <v>4</v>
      </c>
      <c r="T20" s="10">
        <v>0</v>
      </c>
      <c r="U20" s="10">
        <v>4</v>
      </c>
      <c r="V20" s="10">
        <v>6</v>
      </c>
      <c r="W20" s="10">
        <v>0</v>
      </c>
      <c r="X20" s="10">
        <v>10</v>
      </c>
    </row>
    <row r="21" spans="1:24" ht="14.25">
      <c r="A21" s="101"/>
      <c r="B21" s="101"/>
      <c r="C21" s="101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S21" s="10"/>
      <c r="T21" s="10"/>
      <c r="U21" s="10"/>
      <c r="V21" s="10"/>
      <c r="W21" s="10"/>
      <c r="X21" s="10"/>
    </row>
    <row r="22" spans="1:24" ht="14.25">
      <c r="A22" s="101">
        <v>1</v>
      </c>
      <c r="B22" s="101">
        <v>8</v>
      </c>
      <c r="C22" s="101" t="s">
        <v>437</v>
      </c>
      <c r="D22" s="112">
        <v>105</v>
      </c>
      <c r="E22" s="112">
        <f>T22*$E$47/100</f>
        <v>0</v>
      </c>
      <c r="F22" s="112">
        <f>D22+E22</f>
        <v>105</v>
      </c>
      <c r="G22" s="113">
        <f>E22*$G$47/100</f>
        <v>0</v>
      </c>
      <c r="H22" s="113">
        <f>E22*$H$47/100</f>
        <v>0</v>
      </c>
      <c r="I22" s="112">
        <f>F22+G22+H22</f>
        <v>105</v>
      </c>
      <c r="J22" s="112">
        <f>V22*$J$47/100</f>
        <v>0</v>
      </c>
      <c r="K22" s="113">
        <f>#REF!*$K$47/100+1000+451</f>
        <v>2109.249094769326</v>
      </c>
      <c r="L22" s="113">
        <f>#REF!*$L$47/100+1000</f>
        <v>2005.3258901931524</v>
      </c>
      <c r="M22" s="113">
        <f>#REF!*$M$47/100+5000</f>
        <v>6484.052504570844</v>
      </c>
      <c r="N22" s="112">
        <v>418.53333333333336</v>
      </c>
      <c r="O22" s="112">
        <v>2586.6666666666665</v>
      </c>
      <c r="P22" s="112">
        <v>5345</v>
      </c>
      <c r="Q22" s="112">
        <f>I22+J22+K22+L22+M22+N22+O22+P22</f>
        <v>19053.827489533323</v>
      </c>
      <c r="S22" s="10">
        <v>5</v>
      </c>
      <c r="T22" s="10">
        <v>0</v>
      </c>
      <c r="U22" s="10">
        <v>5</v>
      </c>
      <c r="V22" s="10">
        <v>0</v>
      </c>
      <c r="W22" s="10">
        <v>5000</v>
      </c>
      <c r="X22" s="10">
        <v>5005</v>
      </c>
    </row>
    <row r="23" spans="1:24" ht="14.25">
      <c r="A23" s="101"/>
      <c r="B23" s="101"/>
      <c r="C23" s="101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S23" s="10"/>
      <c r="T23" s="10"/>
      <c r="U23" s="10"/>
      <c r="V23" s="10"/>
      <c r="W23" s="10"/>
      <c r="X23" s="10"/>
    </row>
    <row r="24" spans="1:24" ht="14.25">
      <c r="A24" s="101"/>
      <c r="B24" s="101"/>
      <c r="C24" s="101" t="s">
        <v>104</v>
      </c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S24" s="10"/>
      <c r="T24" s="10"/>
      <c r="U24" s="10"/>
      <c r="V24" s="10"/>
      <c r="W24" s="10"/>
      <c r="X24" s="10"/>
    </row>
    <row r="25" spans="1:24" ht="14.25">
      <c r="A25" s="101">
        <v>1</v>
      </c>
      <c r="B25" s="101">
        <v>9</v>
      </c>
      <c r="C25" s="117" t="s">
        <v>438</v>
      </c>
      <c r="D25" s="112">
        <f>S25*$D$47/100</f>
        <v>41452.834454289805</v>
      </c>
      <c r="E25" s="112">
        <f>T25*$E$47/100</f>
        <v>134477.2041912057</v>
      </c>
      <c r="F25" s="112">
        <f>D25+E25</f>
        <v>175930.03864549552</v>
      </c>
      <c r="G25" s="113">
        <f>E25*$G$47/100</f>
        <v>16278.015320381284</v>
      </c>
      <c r="H25" s="113">
        <f>E25*$H$47/100</f>
        <v>15246.657907260605</v>
      </c>
      <c r="I25" s="112">
        <f>F25+G25+H25</f>
        <v>207454.71187313742</v>
      </c>
      <c r="J25" s="112">
        <f>V25*$J$47/100</f>
        <v>353595.8449309034</v>
      </c>
      <c r="K25" s="113">
        <f>#REF!*$K$47/100</f>
        <v>4887.626528384277</v>
      </c>
      <c r="L25" s="113">
        <f>#REF!*$L$47/100+1000</f>
        <v>8464.738697895984</v>
      </c>
      <c r="M25" s="113">
        <f>#REF!*$M$47/100+5000</f>
        <v>16019.37617308455</v>
      </c>
      <c r="N25" s="112">
        <v>418.53333333333336</v>
      </c>
      <c r="O25" s="112">
        <v>2586.6666666666665</v>
      </c>
      <c r="P25" s="112">
        <v>5345</v>
      </c>
      <c r="Q25" s="112">
        <f>I25+J25+K25+L25+M25+N25+O25+P25</f>
        <v>598772.4982034056</v>
      </c>
      <c r="S25" s="10">
        <v>46055.8221983551</v>
      </c>
      <c r="T25" s="10">
        <v>151080.48585835</v>
      </c>
      <c r="U25" s="10">
        <v>197136.308056705</v>
      </c>
      <c r="V25" s="10">
        <v>82010.8163030569</v>
      </c>
      <c r="W25" s="10">
        <v>37125.9646782885</v>
      </c>
      <c r="X25" s="10">
        <v>316273.089038051</v>
      </c>
    </row>
    <row r="26" spans="1:24" ht="14.25">
      <c r="A26" s="101"/>
      <c r="B26" s="101"/>
      <c r="C26" s="101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S26" s="10"/>
      <c r="T26" s="10"/>
      <c r="U26" s="10"/>
      <c r="V26" s="10"/>
      <c r="W26" s="10"/>
      <c r="X26" s="10"/>
    </row>
    <row r="27" spans="1:24" ht="14.25">
      <c r="A27" s="101"/>
      <c r="B27" s="101"/>
      <c r="C27" s="117" t="s">
        <v>148</v>
      </c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S27" s="10"/>
      <c r="T27" s="10"/>
      <c r="U27" s="10"/>
      <c r="V27" s="10"/>
      <c r="W27" s="10"/>
      <c r="X27" s="10"/>
    </row>
    <row r="28" spans="1:24" ht="14.25">
      <c r="A28" s="101"/>
      <c r="B28" s="101">
        <v>10</v>
      </c>
      <c r="C28" s="117" t="s">
        <v>439</v>
      </c>
      <c r="D28" s="112">
        <f>S28*$D$47/100+20000-100</f>
        <v>86238.92109841276</v>
      </c>
      <c r="E28" s="112">
        <f>T28*$E$47/100</f>
        <v>139515.03515779792</v>
      </c>
      <c r="F28" s="112">
        <f>D28+E28</f>
        <v>225753.9562562107</v>
      </c>
      <c r="G28" s="113">
        <f>E28*$G$47/100</f>
        <v>16887.827891581677</v>
      </c>
      <c r="H28" s="113">
        <f>E28*$H$47/100+5</f>
        <v>15822.833414694738</v>
      </c>
      <c r="I28" s="112">
        <f>F28+G28+H28</f>
        <v>258464.6175624871</v>
      </c>
      <c r="J28" s="112">
        <f>V28*$J$47/100+1000</f>
        <v>18700.011463097642</v>
      </c>
      <c r="K28" s="113">
        <f>#REF!*$K$47/100+2000</f>
        <v>11634.009368788202</v>
      </c>
      <c r="L28" s="113">
        <f>#REF!*$L$47/100+2500</f>
        <v>17213.759763240163</v>
      </c>
      <c r="M28" s="113">
        <f>#REF!*$M$47/100+2000</f>
        <v>23720.312031449765</v>
      </c>
      <c r="N28" s="112">
        <v>418.53333333333336</v>
      </c>
      <c r="O28" s="112">
        <v>2586.6666666666665</v>
      </c>
      <c r="P28" s="112">
        <v>5345</v>
      </c>
      <c r="Q28" s="112">
        <f>I28+J28+K28+L28+M28+N28+O28+P28</f>
        <v>338082.9101890629</v>
      </c>
      <c r="S28" s="10">
        <v>73705.2989297581</v>
      </c>
      <c r="T28" s="10">
        <v>156740.31463515</v>
      </c>
      <c r="U28" s="10">
        <v>230444.613564908</v>
      </c>
      <c r="V28" s="10">
        <v>4105.23033421323</v>
      </c>
      <c r="W28" s="10">
        <v>73179.055203747</v>
      </c>
      <c r="X28" s="10">
        <v>307728.899102868</v>
      </c>
    </row>
    <row r="29" spans="1:24" ht="14.25">
      <c r="A29" s="101"/>
      <c r="B29" s="101"/>
      <c r="C29" s="117" t="s">
        <v>440</v>
      </c>
      <c r="D29" s="112">
        <f>S29*$D$47/100+10000</f>
        <v>47295.35533294749</v>
      </c>
      <c r="E29" s="112">
        <v>99375</v>
      </c>
      <c r="F29" s="112">
        <f>D29+E29</f>
        <v>146670.35533294748</v>
      </c>
      <c r="G29" s="113">
        <f>E29*$G$47/100</f>
        <v>12029.0110297272</v>
      </c>
      <c r="H29" s="113">
        <f>E29*$H$47/100</f>
        <v>11266.865924575093</v>
      </c>
      <c r="I29" s="112">
        <f>F29+G29+H29</f>
        <v>169966.2322872498</v>
      </c>
      <c r="J29" s="112">
        <f>V29*$J$47/100+500</f>
        <v>35856.30570121698</v>
      </c>
      <c r="K29" s="113">
        <f>#REF!*$K$47/100+2000</f>
        <v>7854.2396007947855</v>
      </c>
      <c r="L29" s="113">
        <f>#REF!*$L$47/100+1000</f>
        <v>9941.020481213853</v>
      </c>
      <c r="M29" s="113">
        <f>#REF!*$M$47/100+2000</f>
        <v>15198.649281791879</v>
      </c>
      <c r="N29" s="112">
        <v>418.53333333333336</v>
      </c>
      <c r="O29" s="112">
        <v>2586.6666666666665</v>
      </c>
      <c r="P29" s="112">
        <v>5345</v>
      </c>
      <c r="Q29" s="112">
        <f>I29+J29+K29+L29+M29+N29+O29+P29</f>
        <v>247166.64735226726</v>
      </c>
      <c r="S29" s="10">
        <v>41436.6900756276</v>
      </c>
      <c r="T29" s="10">
        <v>101533.520380894</v>
      </c>
      <c r="U29" s="10">
        <v>142971.210456522</v>
      </c>
      <c r="V29" s="10">
        <v>8200.32116775536</v>
      </c>
      <c r="W29" s="10">
        <v>44468.2692867684</v>
      </c>
      <c r="X29" s="10">
        <v>195638.800911046</v>
      </c>
    </row>
    <row r="30" spans="1:24" ht="14.25">
      <c r="A30" s="101"/>
      <c r="B30" s="101">
        <v>11</v>
      </c>
      <c r="C30" s="117" t="s">
        <v>441</v>
      </c>
      <c r="D30" s="112">
        <f>S30*$D$47/100+1000</f>
        <v>38295.35533294749</v>
      </c>
      <c r="E30" s="112">
        <f>T30*$E$47/100</f>
        <v>66253.99613439111</v>
      </c>
      <c r="F30" s="112">
        <f>D30+E30</f>
        <v>104549.3514673386</v>
      </c>
      <c r="G30" s="113">
        <f>E30*$G$47/100+6</f>
        <v>8025.824405173273</v>
      </c>
      <c r="H30" s="113">
        <f>E30*$H$47/100</f>
        <v>7511.69702051322</v>
      </c>
      <c r="I30" s="112">
        <f>F30+G30+H30</f>
        <v>120086.8728930251</v>
      </c>
      <c r="J30" s="112">
        <f>V30*$J$47/100+500</f>
        <v>44709.04375932686</v>
      </c>
      <c r="K30" s="113">
        <f>#REF!*$K$47/100+2000</f>
        <v>7910.095707751869</v>
      </c>
      <c r="L30" s="113">
        <f>#REF!*$L$47/100+845</f>
        <v>9871.327990021035</v>
      </c>
      <c r="M30" s="113">
        <f>#REF!*$M$47/100+2000</f>
        <v>15324.579413840574</v>
      </c>
      <c r="N30" s="112">
        <v>418.53333333333336</v>
      </c>
      <c r="O30" s="112">
        <v>2586.6666666666665</v>
      </c>
      <c r="P30" s="112">
        <v>5345</v>
      </c>
      <c r="Q30" s="112">
        <f>I30+J30+K30+L30+M30+N30+O30+P30</f>
        <v>206252.11976396543</v>
      </c>
      <c r="S30" s="10">
        <v>41436.6900756276</v>
      </c>
      <c r="T30" s="10">
        <v>74434.0722001391</v>
      </c>
      <c r="U30" s="10">
        <v>115870.762275767</v>
      </c>
      <c r="V30" s="10">
        <v>10253.5700536539</v>
      </c>
      <c r="W30" s="10">
        <v>44892.5471733689</v>
      </c>
      <c r="X30" s="10">
        <v>171017.87950279</v>
      </c>
    </row>
    <row r="31" spans="1:24" ht="14.25">
      <c r="A31" s="101"/>
      <c r="B31" s="101">
        <v>12</v>
      </c>
      <c r="C31" s="101" t="s">
        <v>442</v>
      </c>
      <c r="D31" s="112">
        <f>S31*$D$47/100+2380</f>
        <v>39675.35533294749</v>
      </c>
      <c r="E31" s="112">
        <f>T31*$E$47/100+4560</f>
        <v>38209.72274322176</v>
      </c>
      <c r="F31" s="112">
        <f>D31+E31</f>
        <v>77885.07807616924</v>
      </c>
      <c r="G31" s="113">
        <f>E31*$G$47/100</f>
        <v>4625.159007004104</v>
      </c>
      <c r="H31" s="113">
        <f>E31*$H$47/100</f>
        <v>4332.113943779294</v>
      </c>
      <c r="I31" s="112">
        <f>F31+G31+H31</f>
        <v>86842.35102695263</v>
      </c>
      <c r="J31" s="112">
        <f>V31*$J$47/100</f>
        <v>39148.7749680863</v>
      </c>
      <c r="K31" s="113">
        <f>#REF!*$K$47/100+1000</f>
        <v>12004.95204977666</v>
      </c>
      <c r="L31" s="113">
        <f>#REF!*$L$47/100+2500</f>
        <v>19307.563130567993</v>
      </c>
      <c r="M31" s="113">
        <f>#REF!*$M$47/100</f>
        <v>24811.164621314652</v>
      </c>
      <c r="N31" s="112">
        <v>418.53333333333336</v>
      </c>
      <c r="O31" s="112">
        <v>2586.6666666666665</v>
      </c>
      <c r="P31" s="112">
        <v>5345</v>
      </c>
      <c r="Q31" s="112">
        <f>I31+J31+K31+L31+M31+N31+O31+P31</f>
        <v>190465.00579669818</v>
      </c>
      <c r="S31" s="10">
        <v>41436.6900756276</v>
      </c>
      <c r="T31" s="10">
        <v>37804.2991867701</v>
      </c>
      <c r="U31" s="10">
        <v>79240.9892623977</v>
      </c>
      <c r="V31" s="10">
        <v>9079.92285097363</v>
      </c>
      <c r="W31" s="10">
        <v>83592.6105878899</v>
      </c>
      <c r="X31" s="10">
        <v>171913.522701261</v>
      </c>
    </row>
    <row r="32" spans="1:24" ht="14.25">
      <c r="A32" s="101"/>
      <c r="B32" s="101">
        <v>13</v>
      </c>
      <c r="C32" s="117" t="s">
        <v>443</v>
      </c>
      <c r="D32" s="112">
        <f>S32*$D$47/100</f>
        <v>40348.56980805506</v>
      </c>
      <c r="E32" s="112">
        <v>25007</v>
      </c>
      <c r="F32" s="112">
        <f>D32+E32</f>
        <v>65355.56980805506</v>
      </c>
      <c r="G32" s="113">
        <f>E32*$G$47/100</f>
        <v>3027.0136233498174</v>
      </c>
      <c r="H32" s="113">
        <f>E32*$H$47/100</f>
        <v>2835.2253200085474</v>
      </c>
      <c r="I32" s="112">
        <f>F32+G32+H32</f>
        <v>71217.80875141342</v>
      </c>
      <c r="J32" s="112">
        <f>V32*$J$47/100+377</f>
        <v>57887.00945898102</v>
      </c>
      <c r="K32" s="113">
        <f>#REF!*$K$47/100+1000</f>
        <v>5591.371991872125</v>
      </c>
      <c r="L32" s="113">
        <f>#REF!*$L$47/100+1000</f>
        <v>8012.277223950154</v>
      </c>
      <c r="M32" s="113">
        <f>#REF!*$M$47/100+556</f>
        <v>10907.45685440261</v>
      </c>
      <c r="N32" s="112">
        <v>418.53333333333336</v>
      </c>
      <c r="O32" s="112">
        <v>2586.6666666666665</v>
      </c>
      <c r="P32" s="112">
        <v>5345</v>
      </c>
      <c r="Q32" s="112">
        <f>I32+J32+K32+L32+M32+N32+O32+P32</f>
        <v>161966.12428061932</v>
      </c>
      <c r="S32" s="10">
        <v>44828.9382740966</v>
      </c>
      <c r="T32" s="10">
        <v>26971.4288919587</v>
      </c>
      <c r="U32" s="10">
        <v>71800.3671660552</v>
      </c>
      <c r="V32" s="10">
        <v>13338.5131328373</v>
      </c>
      <c r="W32" s="10">
        <v>34875.6422785595</v>
      </c>
      <c r="X32" s="10">
        <v>120014.522577452</v>
      </c>
    </row>
    <row r="33" spans="1:24" ht="14.25">
      <c r="A33" s="101">
        <v>4</v>
      </c>
      <c r="B33" s="101"/>
      <c r="C33" s="101" t="s">
        <v>78</v>
      </c>
      <c r="D33" s="112">
        <f aca="true" t="shared" si="1" ref="D33:Q33">SUM(D28:D32)</f>
        <v>251853.5569053103</v>
      </c>
      <c r="E33" s="112">
        <f t="shared" si="1"/>
        <v>368360.7540354108</v>
      </c>
      <c r="F33" s="112">
        <f t="shared" si="1"/>
        <v>620214.3109407211</v>
      </c>
      <c r="G33" s="112">
        <f t="shared" si="1"/>
        <v>44594.835956836076</v>
      </c>
      <c r="H33" s="112">
        <f t="shared" si="1"/>
        <v>41768.735623570894</v>
      </c>
      <c r="I33" s="112">
        <f t="shared" si="1"/>
        <v>706577.882521128</v>
      </c>
      <c r="J33" s="112">
        <f t="shared" si="1"/>
        <v>196301.1453507088</v>
      </c>
      <c r="K33" s="112">
        <f t="shared" si="1"/>
        <v>44994.668718983645</v>
      </c>
      <c r="L33" s="112">
        <f t="shared" si="1"/>
        <v>64345.9485889932</v>
      </c>
      <c r="M33" s="112">
        <f t="shared" si="1"/>
        <v>89962.16220279947</v>
      </c>
      <c r="N33" s="112">
        <f t="shared" si="1"/>
        <v>2092.666666666667</v>
      </c>
      <c r="O33" s="112">
        <f t="shared" si="1"/>
        <v>12933.333333333332</v>
      </c>
      <c r="P33" s="112">
        <f t="shared" si="1"/>
        <v>26725</v>
      </c>
      <c r="Q33" s="112">
        <f t="shared" si="1"/>
        <v>1143932.807382613</v>
      </c>
      <c r="S33" s="10">
        <v>242845.307430738</v>
      </c>
      <c r="T33" s="10">
        <v>397482.635294911</v>
      </c>
      <c r="U33" s="10">
        <v>640327.942725649</v>
      </c>
      <c r="V33" s="10">
        <v>44977.5575394335</v>
      </c>
      <c r="W33" s="10">
        <v>281009.124530334</v>
      </c>
      <c r="X33" s="10">
        <v>966314.624795416</v>
      </c>
    </row>
    <row r="34" spans="1:24" ht="14.25">
      <c r="A34" s="101"/>
      <c r="B34" s="101"/>
      <c r="C34" s="101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S34" s="10"/>
      <c r="T34" s="10"/>
      <c r="U34" s="10"/>
      <c r="V34" s="10"/>
      <c r="W34" s="10"/>
      <c r="X34" s="10"/>
    </row>
    <row r="35" spans="1:24" ht="14.25">
      <c r="A35" s="101"/>
      <c r="B35" s="101"/>
      <c r="C35" s="101" t="s">
        <v>444</v>
      </c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S35" s="10"/>
      <c r="T35" s="10"/>
      <c r="U35" s="10"/>
      <c r="V35" s="10"/>
      <c r="W35" s="10"/>
      <c r="X35" s="10"/>
    </row>
    <row r="36" spans="1:24" ht="14.25">
      <c r="A36" s="101">
        <v>1</v>
      </c>
      <c r="B36" s="101">
        <v>14</v>
      </c>
      <c r="C36" s="117" t="s">
        <v>445</v>
      </c>
      <c r="D36" s="112">
        <f>S36*$D$47/100</f>
        <v>0</v>
      </c>
      <c r="E36" s="112">
        <f>T36*$E$47/100</f>
        <v>0</v>
      </c>
      <c r="F36" s="112">
        <f>D36+E36</f>
        <v>0</v>
      </c>
      <c r="G36" s="113">
        <f>E36*$G$47/100</f>
        <v>0</v>
      </c>
      <c r="H36" s="113">
        <f>E36*$H$47/100</f>
        <v>0</v>
      </c>
      <c r="I36" s="112">
        <f>F36+G36+H36</f>
        <v>0</v>
      </c>
      <c r="J36" s="112">
        <f>V36*$J$47/100</f>
        <v>2614.416382303179</v>
      </c>
      <c r="K36" s="113">
        <v>1000</v>
      </c>
      <c r="L36" s="113">
        <f>#REF!*$L$47/100</f>
        <v>1525.8590764551263</v>
      </c>
      <c r="M36" s="113">
        <f>#REF!*$M$47/100+2000</f>
        <v>4252.458636671853</v>
      </c>
      <c r="N36" s="112">
        <v>418.53333333333336</v>
      </c>
      <c r="O36" s="112">
        <v>2586.6666666666665</v>
      </c>
      <c r="P36" s="112">
        <v>5345</v>
      </c>
      <c r="Q36" s="112">
        <f>I36+J36+K36+L36+M36+N36+O36+P36</f>
        <v>17742.93409543016</v>
      </c>
      <c r="S36" s="10">
        <v>0</v>
      </c>
      <c r="T36" s="10">
        <v>0</v>
      </c>
      <c r="U36" s="10">
        <v>0</v>
      </c>
      <c r="V36" s="10">
        <v>606.37144</v>
      </c>
      <c r="W36" s="10">
        <v>7588.7768</v>
      </c>
      <c r="X36" s="10">
        <v>8195.14824</v>
      </c>
    </row>
    <row r="37" spans="1:24" ht="14.25">
      <c r="A37" s="101"/>
      <c r="B37" s="101"/>
      <c r="C37" s="101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S37" s="10"/>
      <c r="T37" s="10"/>
      <c r="U37" s="10"/>
      <c r="V37" s="10"/>
      <c r="W37" s="10"/>
      <c r="X37" s="10"/>
    </row>
    <row r="38" spans="1:24" ht="14.25">
      <c r="A38" s="101">
        <v>14</v>
      </c>
      <c r="B38" s="101"/>
      <c r="C38" s="101" t="s">
        <v>446</v>
      </c>
      <c r="D38" s="112">
        <f aca="true" t="shared" si="2" ref="D38:Q38">D15+D18+D20+D22+D25+D33+D36</f>
        <v>658473.1268876658</v>
      </c>
      <c r="E38" s="112">
        <f t="shared" si="2"/>
        <v>568657.4011175111</v>
      </c>
      <c r="F38" s="112">
        <f t="shared" si="2"/>
        <v>1227130.528005177</v>
      </c>
      <c r="G38" s="112">
        <f t="shared" si="2"/>
        <v>68840.07446720549</v>
      </c>
      <c r="H38" s="112">
        <f t="shared" si="2"/>
        <v>64477.82209215916</v>
      </c>
      <c r="I38" s="112">
        <f t="shared" si="2"/>
        <v>1360448.4245645416</v>
      </c>
      <c r="J38" s="112">
        <f t="shared" si="2"/>
        <v>800232.0510816143</v>
      </c>
      <c r="K38" s="112">
        <f t="shared" si="2"/>
        <v>108648.66975897274</v>
      </c>
      <c r="L38" s="112">
        <f t="shared" si="2"/>
        <v>165958.20925379527</v>
      </c>
      <c r="M38" s="112">
        <f t="shared" si="2"/>
        <v>244985.023184174</v>
      </c>
      <c r="N38" s="112">
        <f t="shared" si="2"/>
        <v>6278.000000000001</v>
      </c>
      <c r="O38" s="112">
        <f t="shared" si="2"/>
        <v>38799.99999999999</v>
      </c>
      <c r="P38" s="112">
        <f t="shared" si="2"/>
        <v>80175</v>
      </c>
      <c r="Q38" s="112">
        <f t="shared" si="2"/>
        <v>2805525.377843098</v>
      </c>
      <c r="S38" s="10">
        <v>731701.878478934</v>
      </c>
      <c r="T38" s="10">
        <v>638741.565875347</v>
      </c>
      <c r="U38" s="10">
        <v>1370444.44435428</v>
      </c>
      <c r="V38" s="10">
        <v>185600.687721472</v>
      </c>
      <c r="W38" s="10">
        <v>825441.198138538</v>
      </c>
      <c r="X38" s="10">
        <v>2381486.33021429</v>
      </c>
    </row>
    <row r="39" spans="1:24" ht="14.25">
      <c r="A39" s="158"/>
      <c r="B39" s="158"/>
      <c r="C39" s="158"/>
      <c r="D39" s="177"/>
      <c r="E39" s="177"/>
      <c r="F39" s="177"/>
      <c r="G39" s="158"/>
      <c r="H39" s="198">
        <f>H41-H38</f>
        <v>-0.49834545850899303</v>
      </c>
      <c r="I39" s="198"/>
      <c r="J39" s="198">
        <f aca="true" t="shared" si="3" ref="J39:P39">J41-J38</f>
        <v>-0.16761201748158783</v>
      </c>
      <c r="K39" s="198">
        <f t="shared" si="3"/>
        <v>0.3599793225439498</v>
      </c>
      <c r="L39" s="198">
        <f t="shared" si="3"/>
        <v>-0.4084887389326468</v>
      </c>
      <c r="M39" s="198">
        <f t="shared" si="3"/>
        <v>0.3017547186464071</v>
      </c>
      <c r="N39" s="198">
        <f t="shared" si="3"/>
        <v>0</v>
      </c>
      <c r="O39" s="198">
        <f t="shared" si="3"/>
        <v>0</v>
      </c>
      <c r="P39" s="198">
        <f t="shared" si="3"/>
        <v>0</v>
      </c>
      <c r="Q39" s="198"/>
      <c r="S39" s="6"/>
      <c r="T39" s="6"/>
      <c r="U39" s="6"/>
      <c r="V39" s="6"/>
      <c r="W39" s="6"/>
      <c r="X39" s="6"/>
    </row>
    <row r="40" spans="1:24" ht="14.25">
      <c r="A40" s="174"/>
      <c r="B40" s="174"/>
      <c r="C40" s="174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S40" s="6"/>
      <c r="T40" s="6"/>
      <c r="U40" s="6"/>
      <c r="V40" s="6"/>
      <c r="W40" s="6"/>
      <c r="X40" s="6"/>
    </row>
    <row r="41" spans="1:24" s="12" customFormat="1" ht="14.25" hidden="1">
      <c r="A41" s="167"/>
      <c r="B41" s="167"/>
      <c r="C41" s="167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S41" s="30">
        <v>731701.815018804</v>
      </c>
      <c r="T41" s="30">
        <v>638741.887734534</v>
      </c>
      <c r="U41" s="30">
        <v>1370443.70275334</v>
      </c>
      <c r="V41" s="30">
        <v>185600.795190053</v>
      </c>
      <c r="W41" s="30">
        <v>825440.881749763</v>
      </c>
      <c r="X41" s="30">
        <v>2381486.37969315</v>
      </c>
    </row>
    <row r="42" spans="1:24" ht="14.25">
      <c r="A42" s="161"/>
      <c r="B42" s="161"/>
      <c r="C42" s="161"/>
      <c r="D42" s="167"/>
      <c r="E42" s="167"/>
      <c r="F42" s="167"/>
      <c r="G42" s="161"/>
      <c r="H42" s="161"/>
      <c r="I42" s="161"/>
      <c r="J42" s="167"/>
      <c r="K42" s="161"/>
      <c r="L42" s="161"/>
      <c r="M42" s="161"/>
      <c r="N42" s="161"/>
      <c r="O42" s="161"/>
      <c r="P42" s="161"/>
      <c r="Q42" s="167"/>
      <c r="S42" s="6"/>
      <c r="T42" s="6"/>
      <c r="U42" s="6"/>
      <c r="V42" s="6"/>
      <c r="W42" s="6"/>
      <c r="X42" s="6"/>
    </row>
    <row r="43" spans="1:24" ht="14.25">
      <c r="A43" s="161"/>
      <c r="B43" s="161"/>
      <c r="C43" s="161"/>
      <c r="D43" s="168"/>
      <c r="E43" s="168"/>
      <c r="F43" s="168"/>
      <c r="G43" s="166"/>
      <c r="H43" s="166"/>
      <c r="I43" s="166"/>
      <c r="J43" s="168"/>
      <c r="K43" s="166"/>
      <c r="L43" s="166"/>
      <c r="M43" s="166"/>
      <c r="N43" s="166"/>
      <c r="O43" s="166"/>
      <c r="P43" s="166"/>
      <c r="Q43" s="168"/>
      <c r="S43" s="10">
        <v>0.0634601291967556</v>
      </c>
      <c r="T43" s="10">
        <v>-0.321859187330119</v>
      </c>
      <c r="U43" s="10">
        <v>0</v>
      </c>
      <c r="V43" s="10">
        <v>-0.107468581205467</v>
      </c>
      <c r="W43" s="10">
        <v>0.316388774430379</v>
      </c>
      <c r="X43" s="10">
        <v>-0.0494788652285934</v>
      </c>
    </row>
    <row r="44" spans="1:24" ht="14.25">
      <c r="A44" s="161"/>
      <c r="B44" s="161"/>
      <c r="C44" s="161"/>
      <c r="D44" s="167"/>
      <c r="E44" s="167"/>
      <c r="F44" s="167"/>
      <c r="G44" s="161"/>
      <c r="H44" s="161"/>
      <c r="I44" s="161"/>
      <c r="J44" s="167"/>
      <c r="K44" s="161"/>
      <c r="L44" s="161"/>
      <c r="M44" s="161"/>
      <c r="N44" s="161"/>
      <c r="O44" s="161"/>
      <c r="P44" s="161"/>
      <c r="Q44" s="167"/>
      <c r="S44" s="6"/>
      <c r="T44" s="6"/>
      <c r="U44" s="6"/>
      <c r="V44" s="6"/>
      <c r="W44" s="6"/>
      <c r="X44" s="6"/>
    </row>
    <row r="45" spans="1:24" ht="14.25" hidden="1">
      <c r="A45" s="161"/>
      <c r="B45" s="161"/>
      <c r="C45" s="161"/>
      <c r="D45" s="178"/>
      <c r="E45" s="178"/>
      <c r="F45" s="178"/>
      <c r="G45" s="165"/>
      <c r="H45" s="165"/>
      <c r="I45" s="165"/>
      <c r="J45" s="178"/>
      <c r="K45" s="165"/>
      <c r="L45" s="165"/>
      <c r="M45" s="165"/>
      <c r="N45" s="165"/>
      <c r="O45" s="165"/>
      <c r="P45" s="165"/>
      <c r="Q45" s="178"/>
      <c r="S45" s="45">
        <v>123.288600258945</v>
      </c>
      <c r="T45" s="45">
        <v>130.109341660682</v>
      </c>
      <c r="U45" s="45">
        <v>126.449306448045</v>
      </c>
      <c r="V45" s="45">
        <v>109.044161045111</v>
      </c>
      <c r="W45" s="45">
        <v>132.875233494002</v>
      </c>
      <c r="X45" s="45">
        <v>127.524546566883</v>
      </c>
    </row>
    <row r="46" spans="1:17" ht="15" customHeight="1">
      <c r="A46" s="163"/>
      <c r="B46" s="163"/>
      <c r="C46" s="163"/>
      <c r="D46" s="167"/>
      <c r="E46" s="167"/>
      <c r="F46" s="167"/>
      <c r="G46" s="163"/>
      <c r="H46" s="163"/>
      <c r="I46" s="163"/>
      <c r="J46" s="167"/>
      <c r="K46" s="163"/>
      <c r="L46" s="163"/>
      <c r="M46" s="163"/>
      <c r="N46" s="163"/>
      <c r="O46" s="163"/>
      <c r="P46" s="163"/>
      <c r="Q46" s="167"/>
    </row>
    <row r="47" spans="1:18" ht="14.25">
      <c r="A47" s="163"/>
      <c r="B47" s="163"/>
      <c r="C47" s="163"/>
      <c r="D47" s="164"/>
      <c r="E47" s="164"/>
      <c r="F47" s="164"/>
      <c r="G47" s="165"/>
      <c r="H47" s="165"/>
      <c r="I47" s="165"/>
      <c r="J47" s="164"/>
      <c r="K47" s="165"/>
      <c r="L47" s="165"/>
      <c r="M47" s="165"/>
      <c r="N47" s="165"/>
      <c r="O47" s="165"/>
      <c r="P47" s="165"/>
      <c r="Q47" s="167"/>
      <c r="R47" s="56"/>
    </row>
    <row r="48" spans="1:17" ht="14.25">
      <c r="A48" s="163"/>
      <c r="B48" s="163"/>
      <c r="C48" s="163"/>
      <c r="D48" s="167"/>
      <c r="E48" s="167"/>
      <c r="F48" s="167"/>
      <c r="G48" s="163"/>
      <c r="H48" s="163"/>
      <c r="I48" s="163"/>
      <c r="J48" s="167"/>
      <c r="K48" s="163"/>
      <c r="L48" s="163"/>
      <c r="M48" s="163"/>
      <c r="N48" s="163"/>
      <c r="O48" s="163"/>
      <c r="P48" s="163"/>
      <c r="Q48" s="167"/>
    </row>
    <row r="49" spans="1:17" s="43" customFormat="1" ht="14.25">
      <c r="A49" s="169"/>
      <c r="B49" s="169"/>
      <c r="C49" s="169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</row>
    <row r="50" spans="1:17" ht="14.25">
      <c r="A50" s="163"/>
      <c r="B50" s="163"/>
      <c r="C50" s="163"/>
      <c r="D50" s="167"/>
      <c r="E50" s="167"/>
      <c r="F50" s="167"/>
      <c r="G50" s="163"/>
      <c r="H50" s="163"/>
      <c r="I50" s="163"/>
      <c r="J50" s="167"/>
      <c r="K50" s="163"/>
      <c r="L50" s="163"/>
      <c r="M50" s="163"/>
      <c r="N50" s="184"/>
      <c r="O50" s="163"/>
      <c r="P50" s="163"/>
      <c r="Q50" s="167"/>
    </row>
    <row r="51" spans="1:17" ht="14.25">
      <c r="A51" s="163"/>
      <c r="B51" s="163"/>
      <c r="C51" s="163"/>
      <c r="D51" s="167"/>
      <c r="E51" s="167"/>
      <c r="F51" s="167"/>
      <c r="G51" s="163"/>
      <c r="H51" s="163"/>
      <c r="I51" s="163"/>
      <c r="J51" s="167"/>
      <c r="K51" s="163"/>
      <c r="L51" s="163"/>
      <c r="M51" s="163"/>
      <c r="N51" s="166"/>
      <c r="O51" s="166"/>
      <c r="P51" s="166"/>
      <c r="Q51" s="167"/>
    </row>
    <row r="52" spans="1:17" ht="14.25">
      <c r="A52" s="163"/>
      <c r="B52" s="163"/>
      <c r="C52" s="163"/>
      <c r="D52" s="167"/>
      <c r="E52" s="167"/>
      <c r="F52" s="167"/>
      <c r="G52" s="163"/>
      <c r="H52" s="163"/>
      <c r="I52" s="163"/>
      <c r="J52" s="167"/>
      <c r="K52" s="163"/>
      <c r="L52" s="163"/>
      <c r="M52" s="163"/>
      <c r="N52" s="163"/>
      <c r="O52" s="163"/>
      <c r="P52" s="163"/>
      <c r="Q52" s="167"/>
    </row>
  </sheetData>
  <sheetProtection selectLockedCells="1" selectUnlockedCells="1"/>
  <printOptions/>
  <pageMargins left="0.7000000000000001" right="0.7000000000000001" top="0.75" bottom="0.75" header="0.5118055555555556" footer="0.5118055555555556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Y877"/>
  <sheetViews>
    <sheetView view="pageBreakPreview" zoomScale="60" zoomScaleNormal="75" zoomScalePageLayoutView="0" workbookViewId="0" topLeftCell="A1">
      <pane xSplit="3" ySplit="4" topLeftCell="D83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O888" sqref="O888"/>
    </sheetView>
  </sheetViews>
  <sheetFormatPr defaultColWidth="10.75390625" defaultRowHeight="14.25"/>
  <cols>
    <col min="1" max="1" width="3.375" style="63" customWidth="1"/>
    <col min="2" max="2" width="4.50390625" style="63" customWidth="1"/>
    <col min="3" max="3" width="22.875" style="63" customWidth="1"/>
    <col min="4" max="4" width="10.75390625" style="64" customWidth="1"/>
    <col min="5" max="8" width="10.875" style="63" bestFit="1" customWidth="1"/>
    <col min="9" max="9" width="10.875" style="65" bestFit="1" customWidth="1"/>
    <col min="10" max="10" width="10.875" style="63" bestFit="1" customWidth="1"/>
    <col min="11" max="11" width="11.375" style="63" bestFit="1" customWidth="1"/>
    <col min="12" max="17" width="10.875" style="63" bestFit="1" customWidth="1"/>
    <col min="18" max="18" width="11.375" style="63" bestFit="1" customWidth="1"/>
    <col min="19" max="19" width="3.75390625" style="63" customWidth="1"/>
    <col min="20" max="25" width="0" style="63" hidden="1" customWidth="1"/>
    <col min="26" max="16384" width="10.75390625" style="63" customWidth="1"/>
  </cols>
  <sheetData>
    <row r="1" spans="1:25" ht="18.75">
      <c r="A1" s="136"/>
      <c r="B1" s="136"/>
      <c r="C1" s="136" t="s">
        <v>48</v>
      </c>
      <c r="D1" s="137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 t="s">
        <v>49</v>
      </c>
      <c r="T1" s="66"/>
      <c r="U1" s="66"/>
      <c r="V1" s="66"/>
      <c r="W1" s="66"/>
      <c r="X1" s="66"/>
      <c r="Y1" s="66" t="s">
        <v>49</v>
      </c>
    </row>
    <row r="2" spans="1:25" ht="18" customHeight="1">
      <c r="A2" s="136"/>
      <c r="B2" s="136"/>
      <c r="C2" s="138"/>
      <c r="D2" s="139"/>
      <c r="E2" s="214" t="s">
        <v>447</v>
      </c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136" t="s">
        <v>52</v>
      </c>
      <c r="T2" s="215" t="s">
        <v>448</v>
      </c>
      <c r="U2" s="215"/>
      <c r="V2" s="215"/>
      <c r="W2" s="215"/>
      <c r="X2" s="215"/>
      <c r="Y2" s="66" t="s">
        <v>52</v>
      </c>
    </row>
    <row r="3" spans="1:25" s="69" customFormat="1" ht="58.5" customHeight="1">
      <c r="A3" s="137"/>
      <c r="B3" s="137" t="s">
        <v>54</v>
      </c>
      <c r="C3" s="137" t="s">
        <v>55</v>
      </c>
      <c r="D3" s="140" t="s">
        <v>506</v>
      </c>
      <c r="E3" s="139" t="s">
        <v>3</v>
      </c>
      <c r="F3" s="139" t="s">
        <v>4</v>
      </c>
      <c r="G3" s="139" t="s">
        <v>5</v>
      </c>
      <c r="H3" s="140" t="s">
        <v>6</v>
      </c>
      <c r="I3" s="140" t="s">
        <v>7</v>
      </c>
      <c r="J3" s="140" t="s">
        <v>8</v>
      </c>
      <c r="K3" s="140" t="s">
        <v>9</v>
      </c>
      <c r="L3" s="140" t="s">
        <v>10</v>
      </c>
      <c r="M3" s="140" t="s">
        <v>11</v>
      </c>
      <c r="N3" s="140" t="s">
        <v>12</v>
      </c>
      <c r="O3" s="140" t="s">
        <v>13</v>
      </c>
      <c r="P3" s="140" t="s">
        <v>14</v>
      </c>
      <c r="Q3" s="140" t="s">
        <v>15</v>
      </c>
      <c r="R3" s="139" t="s">
        <v>17</v>
      </c>
      <c r="T3" s="68" t="s">
        <v>3</v>
      </c>
      <c r="U3" s="68" t="s">
        <v>4</v>
      </c>
      <c r="V3" s="68" t="s">
        <v>5</v>
      </c>
      <c r="W3" s="68" t="s">
        <v>18</v>
      </c>
      <c r="X3" s="68" t="s">
        <v>16</v>
      </c>
      <c r="Y3" s="68" t="s">
        <v>17</v>
      </c>
    </row>
    <row r="4" spans="1:25" ht="18.75">
      <c r="A4" s="136"/>
      <c r="B4" s="136" t="s">
        <v>56</v>
      </c>
      <c r="C4" s="136" t="s">
        <v>57</v>
      </c>
      <c r="D4" s="137"/>
      <c r="E4" s="136" t="s">
        <v>19</v>
      </c>
      <c r="F4" s="136" t="s">
        <v>19</v>
      </c>
      <c r="G4" s="136" t="s">
        <v>19</v>
      </c>
      <c r="H4" s="136"/>
      <c r="I4" s="136"/>
      <c r="J4" s="136"/>
      <c r="K4" s="136" t="s">
        <v>20</v>
      </c>
      <c r="L4" s="136"/>
      <c r="M4" s="136"/>
      <c r="N4" s="136"/>
      <c r="O4" s="136"/>
      <c r="P4" s="136"/>
      <c r="Q4" s="136"/>
      <c r="R4" s="136"/>
      <c r="T4" s="66" t="s">
        <v>19</v>
      </c>
      <c r="U4" s="66" t="s">
        <v>19</v>
      </c>
      <c r="V4" s="66" t="s">
        <v>19</v>
      </c>
      <c r="W4" s="66" t="s">
        <v>20</v>
      </c>
      <c r="X4" s="66" t="s">
        <v>21</v>
      </c>
      <c r="Y4" s="66"/>
    </row>
    <row r="5" spans="1:25" ht="18.75">
      <c r="A5" s="136"/>
      <c r="B5" s="136"/>
      <c r="C5" s="136" t="s">
        <v>50</v>
      </c>
      <c r="D5" s="141"/>
      <c r="E5" s="138" t="s">
        <v>22</v>
      </c>
      <c r="F5" s="138" t="s">
        <v>22</v>
      </c>
      <c r="G5" s="138" t="s">
        <v>22</v>
      </c>
      <c r="H5" s="138" t="s">
        <v>22</v>
      </c>
      <c r="I5" s="138" t="s">
        <v>22</v>
      </c>
      <c r="J5" s="138" t="s">
        <v>22</v>
      </c>
      <c r="K5" s="138" t="s">
        <v>22</v>
      </c>
      <c r="L5" s="138" t="s">
        <v>22</v>
      </c>
      <c r="M5" s="138" t="s">
        <v>22</v>
      </c>
      <c r="N5" s="138" t="s">
        <v>22</v>
      </c>
      <c r="O5" s="138" t="s">
        <v>22</v>
      </c>
      <c r="P5" s="138" t="s">
        <v>22</v>
      </c>
      <c r="Q5" s="138" t="s">
        <v>22</v>
      </c>
      <c r="R5" s="138" t="s">
        <v>22</v>
      </c>
      <c r="T5" s="66" t="s">
        <v>23</v>
      </c>
      <c r="U5" s="66" t="s">
        <v>23</v>
      </c>
      <c r="V5" s="66" t="s">
        <v>23</v>
      </c>
      <c r="W5" s="66" t="s">
        <v>23</v>
      </c>
      <c r="X5" s="66" t="s">
        <v>23</v>
      </c>
      <c r="Y5" s="66" t="s">
        <v>23</v>
      </c>
    </row>
    <row r="6" spans="1:25" s="73" customFormat="1" ht="18.75">
      <c r="A6" s="138"/>
      <c r="B6" s="138"/>
      <c r="C6" s="138" t="s">
        <v>449</v>
      </c>
      <c r="D6" s="141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T6" s="74"/>
      <c r="U6" s="74"/>
      <c r="V6" s="74"/>
      <c r="W6" s="74"/>
      <c r="X6" s="74"/>
      <c r="Y6" s="74"/>
    </row>
    <row r="7" spans="1:25" s="73" customFormat="1" ht="18.75">
      <c r="A7" s="138"/>
      <c r="B7" s="138">
        <v>1</v>
      </c>
      <c r="C7" s="138" t="s">
        <v>60</v>
      </c>
      <c r="D7" s="137" t="s">
        <v>507</v>
      </c>
      <c r="E7" s="136">
        <f>'TISWADI '!D7</f>
        <v>0</v>
      </c>
      <c r="F7" s="136">
        <f>'TISWADI '!E7</f>
        <v>0</v>
      </c>
      <c r="G7" s="136">
        <f>'TISWADI '!F7</f>
        <v>0</v>
      </c>
      <c r="H7" s="136">
        <f>'TISWADI '!G7</f>
        <v>0</v>
      </c>
      <c r="I7" s="136">
        <f>'TISWADI '!H7</f>
        <v>0</v>
      </c>
      <c r="J7" s="136">
        <f>'TISWADI '!I7</f>
        <v>0</v>
      </c>
      <c r="K7" s="136">
        <f>'TISWADI '!J7</f>
        <v>0</v>
      </c>
      <c r="L7" s="136">
        <f>'TISWADI '!K7</f>
        <v>2513.959275597546</v>
      </c>
      <c r="M7" s="136">
        <f>'TISWADI '!L7</f>
        <v>3839.501439094434</v>
      </c>
      <c r="N7" s="136">
        <f>'TISWADI '!M7</f>
        <v>5667.835457710831</v>
      </c>
      <c r="O7" s="136">
        <f>'TISWADI '!N7</f>
        <v>44</v>
      </c>
      <c r="P7" s="136">
        <f>'TISWADI '!O7</f>
        <v>275</v>
      </c>
      <c r="Q7" s="136">
        <f>'TISWADI '!P7</f>
        <v>572</v>
      </c>
      <c r="R7" s="136">
        <f>'TISWADI '!S7</f>
        <v>12912.29617240281</v>
      </c>
      <c r="T7" s="75">
        <v>0</v>
      </c>
      <c r="U7" s="75">
        <v>0</v>
      </c>
      <c r="V7" s="75">
        <v>0</v>
      </c>
      <c r="W7" s="75">
        <v>0</v>
      </c>
      <c r="X7" s="75">
        <v>19095.5507583687</v>
      </c>
      <c r="Y7" s="75">
        <v>19095.5507583687</v>
      </c>
    </row>
    <row r="8" spans="1:25" s="73" customFormat="1" ht="18.75">
      <c r="A8" s="138"/>
      <c r="B8" s="138">
        <v>2</v>
      </c>
      <c r="C8" s="138" t="s">
        <v>61</v>
      </c>
      <c r="D8" s="137" t="s">
        <v>507</v>
      </c>
      <c r="E8" s="136">
        <f>'TISWADI '!D8</f>
        <v>36494.157330359216</v>
      </c>
      <c r="F8" s="136">
        <f>'TISWADI '!E8</f>
        <v>0</v>
      </c>
      <c r="G8" s="136">
        <f>'TISWADI '!F8</f>
        <v>36494.157330359216</v>
      </c>
      <c r="H8" s="136">
        <f>'TISWADI '!G8</f>
        <v>0</v>
      </c>
      <c r="I8" s="136">
        <f>'TISWADI '!H8</f>
        <v>0</v>
      </c>
      <c r="J8" s="136">
        <f>'TISWADI '!I8</f>
        <v>36494.157330359216</v>
      </c>
      <c r="K8" s="136">
        <f>'TISWADI '!J8</f>
        <v>0</v>
      </c>
      <c r="L8" s="136">
        <f>'TISWADI '!K8</f>
        <v>0</v>
      </c>
      <c r="M8" s="136">
        <f>'TISWADI '!L8</f>
        <v>0</v>
      </c>
      <c r="N8" s="136">
        <f>'TISWADI '!M8</f>
        <v>0</v>
      </c>
      <c r="O8" s="136">
        <f>'TISWADI '!N8</f>
        <v>44</v>
      </c>
      <c r="P8" s="136">
        <f>'TISWADI '!O8</f>
        <v>275</v>
      </c>
      <c r="Q8" s="136">
        <f>'TISWADI '!P8</f>
        <v>572</v>
      </c>
      <c r="R8" s="136">
        <f>'TISWADI '!S8</f>
        <v>37385.157330359216</v>
      </c>
      <c r="T8" s="75">
        <v>40887.5764851414</v>
      </c>
      <c r="U8" s="75">
        <v>0</v>
      </c>
      <c r="V8" s="75">
        <v>40887.5764851414</v>
      </c>
      <c r="W8" s="75">
        <v>0</v>
      </c>
      <c r="X8" s="75">
        <v>0</v>
      </c>
      <c r="Y8" s="75">
        <v>40887.5764851414</v>
      </c>
    </row>
    <row r="9" spans="1:25" s="73" customFormat="1" ht="18.75">
      <c r="A9" s="138"/>
      <c r="B9" s="138">
        <v>3</v>
      </c>
      <c r="C9" s="138" t="s">
        <v>62</v>
      </c>
      <c r="D9" s="137" t="s">
        <v>508</v>
      </c>
      <c r="E9" s="136">
        <f>'TISWADI '!D9</f>
        <v>36494.157330359216</v>
      </c>
      <c r="F9" s="136">
        <f>'TISWADI '!E9</f>
        <v>0</v>
      </c>
      <c r="G9" s="136">
        <f>'TISWADI '!F9</f>
        <v>36494.157330359216</v>
      </c>
      <c r="H9" s="136">
        <f>'TISWADI '!G9</f>
        <v>0</v>
      </c>
      <c r="I9" s="136">
        <f>'TISWADI '!H9</f>
        <v>0</v>
      </c>
      <c r="J9" s="136">
        <f>'TISWADI '!I9</f>
        <v>36494.157330359216</v>
      </c>
      <c r="K9" s="136">
        <f>'TISWADI '!J9</f>
        <v>0</v>
      </c>
      <c r="L9" s="136">
        <f>'TISWADI '!K9</f>
        <v>0</v>
      </c>
      <c r="M9" s="136">
        <f>'TISWADI '!L9</f>
        <v>0</v>
      </c>
      <c r="N9" s="136">
        <f>'TISWADI '!M9</f>
        <v>0</v>
      </c>
      <c r="O9" s="136">
        <f>'TISWADI '!N9</f>
        <v>44</v>
      </c>
      <c r="P9" s="136">
        <f>'TISWADI '!O9</f>
        <v>275</v>
      </c>
      <c r="Q9" s="136">
        <f>'TISWADI '!P9</f>
        <v>572</v>
      </c>
      <c r="R9" s="136">
        <f>'TISWADI '!S9</f>
        <v>37385.157330359216</v>
      </c>
      <c r="T9" s="75">
        <v>40887.5764851414</v>
      </c>
      <c r="U9" s="75">
        <v>0</v>
      </c>
      <c r="V9" s="75">
        <v>40887.5764851414</v>
      </c>
      <c r="W9" s="75">
        <v>0</v>
      </c>
      <c r="X9" s="75">
        <v>0</v>
      </c>
      <c r="Y9" s="75">
        <v>40887.5764851414</v>
      </c>
    </row>
    <row r="10" spans="1:25" s="73" customFormat="1" ht="18.75">
      <c r="A10" s="138"/>
      <c r="B10" s="138">
        <v>4</v>
      </c>
      <c r="C10" s="138" t="s">
        <v>63</v>
      </c>
      <c r="D10" s="137" t="s">
        <v>508</v>
      </c>
      <c r="E10" s="136">
        <f>'TISWADI '!D10</f>
        <v>316.7978185284366</v>
      </c>
      <c r="F10" s="136">
        <f>'TISWADI '!E10</f>
        <v>0</v>
      </c>
      <c r="G10" s="136">
        <f>'TISWADI '!F10</f>
        <v>316.7978185284366</v>
      </c>
      <c r="H10" s="136">
        <f>'TISWADI '!G10</f>
        <v>0</v>
      </c>
      <c r="I10" s="136">
        <f>'TISWADI '!H10</f>
        <v>0</v>
      </c>
      <c r="J10" s="136">
        <f>'TISWADI '!I10</f>
        <v>316.7978185284366</v>
      </c>
      <c r="K10" s="136">
        <f>'TISWADI '!J10</f>
        <v>1439.334985879989</v>
      </c>
      <c r="L10" s="136">
        <f>'TISWADI '!K10</f>
        <v>2784.265002969147</v>
      </c>
      <c r="M10" s="136">
        <f>'TISWADI '!L10</f>
        <v>4252.332004534697</v>
      </c>
      <c r="N10" s="136">
        <f>'TISWADI '!M10</f>
        <v>6277.252006694077</v>
      </c>
      <c r="O10" s="136">
        <f>'TISWADI '!N10</f>
        <v>44</v>
      </c>
      <c r="P10" s="136">
        <f>'TISWADI '!O10</f>
        <v>275</v>
      </c>
      <c r="Q10" s="136">
        <f>'TISWADI '!P10</f>
        <v>572</v>
      </c>
      <c r="R10" s="136">
        <f>'TISWADI '!S10</f>
        <v>15960.981818606346</v>
      </c>
      <c r="T10" s="75">
        <v>355.911387584243</v>
      </c>
      <c r="U10" s="75">
        <v>0</v>
      </c>
      <c r="V10" s="75">
        <v>355.911387584243</v>
      </c>
      <c r="W10" s="75">
        <v>333.83038522026</v>
      </c>
      <c r="X10" s="75">
        <v>21148.7410337264</v>
      </c>
      <c r="Y10" s="75">
        <v>21839.4828065309</v>
      </c>
    </row>
    <row r="11" spans="1:25" s="73" customFormat="1" ht="18.75">
      <c r="A11" s="138"/>
      <c r="B11" s="138">
        <v>5</v>
      </c>
      <c r="C11" s="138" t="s">
        <v>64</v>
      </c>
      <c r="D11" s="137" t="s">
        <v>508</v>
      </c>
      <c r="E11" s="136">
        <f>'TISWADI '!D11</f>
        <v>1654.4212962461997</v>
      </c>
      <c r="F11" s="136">
        <f>'TISWADI '!E11</f>
        <v>50.97882350992805</v>
      </c>
      <c r="G11" s="136">
        <f>'TISWADI '!F11</f>
        <v>1705.4001197561279</v>
      </c>
      <c r="H11" s="136">
        <f>'TISWADI '!G11</f>
        <v>6.170815902223303</v>
      </c>
      <c r="I11" s="136">
        <f>'TISWADI '!H11</f>
        <v>5.779839692869797</v>
      </c>
      <c r="J11" s="136">
        <f>'TISWADI '!I11</f>
        <v>1717.3507753512208</v>
      </c>
      <c r="K11" s="136">
        <f>'TISWADI '!J11</f>
        <v>644.8220736742331</v>
      </c>
      <c r="L11" s="136">
        <f>'TISWADI '!K11</f>
        <v>774.1803522144728</v>
      </c>
      <c r="M11" s="136">
        <f>'TISWADI '!L11</f>
        <v>1182.3845379275583</v>
      </c>
      <c r="N11" s="136">
        <f>'TISWADI '!M11</f>
        <v>1745.4247940835385</v>
      </c>
      <c r="O11" s="136">
        <f>'TISWADI '!N11</f>
        <v>44</v>
      </c>
      <c r="P11" s="136">
        <f>'TISWADI '!O11</f>
        <v>275</v>
      </c>
      <c r="Q11" s="136">
        <f>'TISWADI '!P11</f>
        <v>572</v>
      </c>
      <c r="R11" s="136">
        <f>'TISWADI '!S11</f>
        <v>6955.162533251024</v>
      </c>
      <c r="T11" s="75">
        <v>1746.33854174669</v>
      </c>
      <c r="U11" s="75">
        <v>57.2729442933398</v>
      </c>
      <c r="V11" s="75">
        <v>1802.61148604003</v>
      </c>
      <c r="W11" s="75">
        <v>149.556012578676</v>
      </c>
      <c r="X11" s="75">
        <v>5880.52493743334</v>
      </c>
      <c r="Y11" s="75">
        <v>7833.69243605205</v>
      </c>
    </row>
    <row r="12" spans="1:25" s="73" customFormat="1" ht="18.75">
      <c r="A12" s="138"/>
      <c r="B12" s="138">
        <v>6</v>
      </c>
      <c r="C12" s="138" t="s">
        <v>65</v>
      </c>
      <c r="D12" s="137" t="s">
        <v>508</v>
      </c>
      <c r="E12" s="136">
        <f>'TISWADI '!D12</f>
        <v>200</v>
      </c>
      <c r="F12" s="136">
        <f>'TISWADI '!E12</f>
        <v>1050.4586421420163</v>
      </c>
      <c r="G12" s="136">
        <f>'TISWADI '!F12</f>
        <v>1250.4586421420163</v>
      </c>
      <c r="H12" s="136">
        <f>'TISWADI '!G12</f>
        <v>121.15450156074034</v>
      </c>
      <c r="I12" s="136">
        <f>'TISWADI '!H12</f>
        <v>119.09813011648107</v>
      </c>
      <c r="J12" s="136">
        <f>'TISWADI '!I12</f>
        <v>1490.7112738192377</v>
      </c>
      <c r="K12" s="136">
        <f>'TISWADI '!J12</f>
        <v>5314.02476786892</v>
      </c>
      <c r="L12" s="136">
        <f>'TISWADI '!K12</f>
        <v>3589.7683364670143</v>
      </c>
      <c r="M12" s="136">
        <f>'TISWADI '!L12</f>
        <v>4999.555277513257</v>
      </c>
      <c r="N12" s="136">
        <f>'TISWADI '!M12</f>
        <v>8093.295885852904</v>
      </c>
      <c r="O12" s="136">
        <f>'TISWADI '!N12</f>
        <v>44</v>
      </c>
      <c r="P12" s="136">
        <f>'TISWADI '!O12</f>
        <v>275</v>
      </c>
      <c r="Q12" s="136">
        <f>'TISWADI '!P12</f>
        <v>572</v>
      </c>
      <c r="R12" s="136">
        <f>'TISWADI '!S12</f>
        <v>24378.355541521334</v>
      </c>
      <c r="T12" s="75">
        <v>0</v>
      </c>
      <c r="U12" s="75">
        <v>1152.06730251603</v>
      </c>
      <c r="V12" s="75">
        <v>1152.06730251603</v>
      </c>
      <c r="W12" s="75">
        <v>1232.5017822332</v>
      </c>
      <c r="X12" s="75">
        <v>27267.1893077891</v>
      </c>
      <c r="Y12" s="75">
        <v>29651.7583925384</v>
      </c>
    </row>
    <row r="13" spans="1:25" s="73" customFormat="1" ht="18.75">
      <c r="A13" s="138"/>
      <c r="B13" s="138">
        <v>7</v>
      </c>
      <c r="C13" s="138" t="s">
        <v>66</v>
      </c>
      <c r="D13" s="137" t="s">
        <v>507</v>
      </c>
      <c r="E13" s="136">
        <f>'TISWADI '!D13</f>
        <v>0</v>
      </c>
      <c r="F13" s="136">
        <f>'TISWADI '!E13</f>
        <v>0</v>
      </c>
      <c r="G13" s="136">
        <f>'TISWADI '!F13</f>
        <v>0</v>
      </c>
      <c r="H13" s="136">
        <f>'TISWADI '!G13</f>
        <v>0</v>
      </c>
      <c r="I13" s="136">
        <f>'TISWADI '!H13</f>
        <v>0</v>
      </c>
      <c r="J13" s="136">
        <f>'TISWADI '!I13</f>
        <v>0</v>
      </c>
      <c r="K13" s="136">
        <f>'TISWADI '!J13</f>
        <v>13829.130544334988</v>
      </c>
      <c r="L13" s="136">
        <f>'TISWADI '!K13</f>
        <v>9909.284076378222</v>
      </c>
      <c r="M13" s="136">
        <f>'TISWADI '!L13</f>
        <v>15699.815680286738</v>
      </c>
      <c r="N13" s="136">
        <f>'TISWADI '!M13</f>
        <v>23468.2040994709</v>
      </c>
      <c r="O13" s="136">
        <f>'TISWADI '!N13</f>
        <v>44</v>
      </c>
      <c r="P13" s="136">
        <f>'TISWADI '!O13</f>
        <v>275</v>
      </c>
      <c r="Q13" s="136">
        <f>'TISWADI '!P13</f>
        <v>572</v>
      </c>
      <c r="R13" s="136">
        <f>'TISWADI '!S13</f>
        <v>63797.43440047084</v>
      </c>
      <c r="T13" s="75">
        <v>0</v>
      </c>
      <c r="U13" s="75">
        <v>0</v>
      </c>
      <c r="V13" s="75">
        <v>0</v>
      </c>
      <c r="W13" s="75">
        <v>3207.44234119627</v>
      </c>
      <c r="X13" s="75">
        <v>79066.9182147007</v>
      </c>
      <c r="Y13" s="75">
        <v>82274.360555897</v>
      </c>
    </row>
    <row r="14" spans="1:25" s="73" customFormat="1" ht="18.75">
      <c r="A14" s="138"/>
      <c r="B14" s="138">
        <v>8</v>
      </c>
      <c r="C14" s="138" t="s">
        <v>67</v>
      </c>
      <c r="D14" s="137" t="s">
        <v>507</v>
      </c>
      <c r="E14" s="136">
        <f>'TISWADI '!D14</f>
        <v>0</v>
      </c>
      <c r="F14" s="136">
        <f>'TISWADI '!E14</f>
        <v>478.41665140086275</v>
      </c>
      <c r="G14" s="136">
        <f>'TISWADI '!F14</f>
        <v>478.41665140086275</v>
      </c>
      <c r="H14" s="136">
        <f>'TISWADI '!G14</f>
        <v>57.91073385163402</v>
      </c>
      <c r="I14" s="136">
        <f>'TISWADI '!H14</f>
        <v>64.2415725023165</v>
      </c>
      <c r="J14" s="136">
        <f>'TISWADI '!I14</f>
        <v>600.5689577548133</v>
      </c>
      <c r="K14" s="136">
        <f>'TISWADI '!J14</f>
        <v>0</v>
      </c>
      <c r="L14" s="136">
        <f>'TISWADI '!K14</f>
        <v>4953.2847809766145</v>
      </c>
      <c r="M14" s="136">
        <f>'TISWADI '!L14</f>
        <v>7565.016756400648</v>
      </c>
      <c r="N14" s="136">
        <f>'TISWADI '!M14</f>
        <v>11167.405688020002</v>
      </c>
      <c r="O14" s="136">
        <f>'TISWADI '!N14</f>
        <v>44</v>
      </c>
      <c r="P14" s="136">
        <f>'TISWADI '!O14</f>
        <v>275</v>
      </c>
      <c r="Q14" s="136">
        <f>'TISWADI '!P14</f>
        <v>572</v>
      </c>
      <c r="R14" s="136">
        <f>'TISWADI '!S14</f>
        <v>25177.276183152077</v>
      </c>
      <c r="T14" s="75">
        <v>0</v>
      </c>
      <c r="U14" s="75">
        <v>537.484554137496</v>
      </c>
      <c r="V14" s="75">
        <v>537.484554137496</v>
      </c>
      <c r="W14" s="75">
        <v>0</v>
      </c>
      <c r="X14" s="75">
        <v>37624.1977640278</v>
      </c>
      <c r="Y14" s="75">
        <v>38160.6823181653</v>
      </c>
    </row>
    <row r="15" spans="1:25" s="73" customFormat="1" ht="18.75">
      <c r="A15" s="138"/>
      <c r="B15" s="138">
        <v>9</v>
      </c>
      <c r="C15" s="138" t="s">
        <v>68</v>
      </c>
      <c r="D15" s="137" t="s">
        <v>507</v>
      </c>
      <c r="E15" s="136">
        <f>'TISWADI '!D15</f>
        <v>0</v>
      </c>
      <c r="F15" s="136">
        <f>'TISWADI '!E15</f>
        <v>0</v>
      </c>
      <c r="G15" s="136">
        <f>'TISWADI '!F15</f>
        <v>0</v>
      </c>
      <c r="H15" s="136">
        <f>'TISWADI '!G15</f>
        <v>0</v>
      </c>
      <c r="I15" s="136">
        <f>'TISWADI '!H15</f>
        <v>0</v>
      </c>
      <c r="J15" s="136">
        <f>'TISWADI '!I15</f>
        <v>0</v>
      </c>
      <c r="K15" s="136">
        <f>'TISWADI '!J15</f>
        <v>0</v>
      </c>
      <c r="L15" s="136">
        <f>'TISWADI '!K15</f>
        <v>3589.7683364670143</v>
      </c>
      <c r="M15" s="136">
        <f>'TISWADI '!L15</f>
        <v>5482.555277513257</v>
      </c>
      <c r="N15" s="136">
        <f>'TISWADI '!M15</f>
        <v>8093.295885852904</v>
      </c>
      <c r="O15" s="136">
        <f>'TISWADI '!N15</f>
        <v>44</v>
      </c>
      <c r="P15" s="136">
        <f>'TISWADI '!O15</f>
        <v>275</v>
      </c>
      <c r="Q15" s="136">
        <f>'TISWADI '!P15</f>
        <v>572</v>
      </c>
      <c r="R15" s="136">
        <f>'TISWADI '!S15</f>
        <v>18056.619499833178</v>
      </c>
      <c r="T15" s="75">
        <v>0</v>
      </c>
      <c r="U15" s="75">
        <v>0</v>
      </c>
      <c r="V15" s="75">
        <v>0</v>
      </c>
      <c r="W15" s="75">
        <v>0</v>
      </c>
      <c r="X15" s="75">
        <v>27267.1893077891</v>
      </c>
      <c r="Y15" s="75">
        <v>27267.1893077891</v>
      </c>
    </row>
    <row r="16" spans="1:25" s="73" customFormat="1" ht="18.75">
      <c r="A16" s="138"/>
      <c r="B16" s="138">
        <v>10</v>
      </c>
      <c r="C16" s="138" t="s">
        <v>69</v>
      </c>
      <c r="D16" s="137" t="s">
        <v>507</v>
      </c>
      <c r="E16" s="136">
        <f>'TISWADI '!D16</f>
        <v>0</v>
      </c>
      <c r="F16" s="136">
        <f>'TISWADI '!E16</f>
        <v>0</v>
      </c>
      <c r="G16" s="136">
        <f>'TISWADI '!F16</f>
        <v>0</v>
      </c>
      <c r="H16" s="136">
        <f>'TISWADI '!G16</f>
        <v>0</v>
      </c>
      <c r="I16" s="136">
        <f>'TISWADI '!H16</f>
        <v>0</v>
      </c>
      <c r="J16" s="136">
        <f>'TISWADI '!I16</f>
        <v>0</v>
      </c>
      <c r="K16" s="136">
        <f>'TISWADI '!J16</f>
        <v>0</v>
      </c>
      <c r="L16" s="136">
        <f>'TISWADI '!K16</f>
        <v>7445.549623492179</v>
      </c>
      <c r="M16" s="136">
        <f>'TISWADI '!L16</f>
        <v>12135.021243151692</v>
      </c>
      <c r="N16" s="136">
        <f>'TISWADI '!M16</f>
        <v>17913.60278750964</v>
      </c>
      <c r="O16" s="136">
        <f>'TISWADI '!N16</f>
        <v>44</v>
      </c>
      <c r="P16" s="136">
        <f>'TISWADI '!O16</f>
        <v>275</v>
      </c>
      <c r="Q16" s="136">
        <f>'TISWADI '!P16</f>
        <v>572</v>
      </c>
      <c r="R16" s="136">
        <f>'TISWADI '!S16</f>
        <v>38385.173654153514</v>
      </c>
      <c r="T16" s="75">
        <v>0</v>
      </c>
      <c r="U16" s="75">
        <v>0</v>
      </c>
      <c r="V16" s="75">
        <v>0</v>
      </c>
      <c r="W16" s="75">
        <v>0</v>
      </c>
      <c r="X16" s="75">
        <v>60352.8655421312</v>
      </c>
      <c r="Y16" s="75">
        <v>60352.8655421312</v>
      </c>
    </row>
    <row r="17" spans="1:25" s="73" customFormat="1" ht="18.75">
      <c r="A17" s="138"/>
      <c r="B17" s="138">
        <v>11</v>
      </c>
      <c r="C17" s="138" t="s">
        <v>70</v>
      </c>
      <c r="D17" s="137" t="s">
        <v>507</v>
      </c>
      <c r="E17" s="136">
        <f>'TISWADI '!D17</f>
        <v>0</v>
      </c>
      <c r="F17" s="136">
        <f>'TISWADI '!E17</f>
        <v>0</v>
      </c>
      <c r="G17" s="136">
        <f>'TISWADI '!F17</f>
        <v>0</v>
      </c>
      <c r="H17" s="136">
        <f>'TISWADI '!G17</f>
        <v>0</v>
      </c>
      <c r="I17" s="136">
        <f>'TISWADI '!H17</f>
        <v>0</v>
      </c>
      <c r="J17" s="136">
        <f>'TISWADI '!I17</f>
        <v>0</v>
      </c>
      <c r="K17" s="136">
        <f>'TISWADI '!J17</f>
        <v>0</v>
      </c>
      <c r="L17" s="136">
        <f>'TISWADI '!K17</f>
        <v>0</v>
      </c>
      <c r="M17" s="136">
        <f>'TISWADI '!L17</f>
        <v>0</v>
      </c>
      <c r="N17" s="136">
        <f>'TISWADI '!M17</f>
        <v>0</v>
      </c>
      <c r="O17" s="136">
        <f>'TISWADI '!N17</f>
        <v>44</v>
      </c>
      <c r="P17" s="136">
        <f>'TISWADI '!O17</f>
        <v>275</v>
      </c>
      <c r="Q17" s="136">
        <f>'TISWADI '!P17</f>
        <v>572</v>
      </c>
      <c r="R17" s="136">
        <f>'TISWADI '!S17</f>
        <v>891</v>
      </c>
      <c r="T17" s="75">
        <v>0</v>
      </c>
      <c r="U17" s="75">
        <v>0</v>
      </c>
      <c r="V17" s="75">
        <v>0</v>
      </c>
      <c r="W17" s="75">
        <v>0</v>
      </c>
      <c r="X17" s="75">
        <v>0</v>
      </c>
      <c r="Y17" s="75">
        <v>0</v>
      </c>
    </row>
    <row r="18" spans="1:25" s="73" customFormat="1" ht="18.75">
      <c r="A18" s="138"/>
      <c r="B18" s="138">
        <v>12</v>
      </c>
      <c r="C18" s="138" t="s">
        <v>71</v>
      </c>
      <c r="D18" s="137" t="s">
        <v>507</v>
      </c>
      <c r="E18" s="136">
        <f>'TISWADI '!D18</f>
        <v>0</v>
      </c>
      <c r="F18" s="136">
        <f>'TISWADI '!E18</f>
        <v>0</v>
      </c>
      <c r="G18" s="136">
        <f>'TISWADI '!F18</f>
        <v>0</v>
      </c>
      <c r="H18" s="136">
        <f>'TISWADI '!G18</f>
        <v>0</v>
      </c>
      <c r="I18" s="136">
        <f>'TISWADI '!H18</f>
        <v>0</v>
      </c>
      <c r="J18" s="136">
        <f>'TISWADI '!I18</f>
        <v>0</v>
      </c>
      <c r="K18" s="136">
        <f>'TISWADI '!J18</f>
        <v>112049.3499807854</v>
      </c>
      <c r="L18" s="136">
        <f>'TISWADI '!K18</f>
        <v>4481.045536241863</v>
      </c>
      <c r="M18" s="136">
        <f>'TISWADI '!L18</f>
        <v>7000.233182623937</v>
      </c>
      <c r="N18" s="136">
        <f>'TISWADI '!M18</f>
        <v>10553.629936254383</v>
      </c>
      <c r="O18" s="136">
        <f>'TISWADI '!N18</f>
        <v>44</v>
      </c>
      <c r="P18" s="136">
        <f>'TISWADI '!O18</f>
        <v>275</v>
      </c>
      <c r="Q18" s="136">
        <f>'TISWADI '!P18</f>
        <v>572</v>
      </c>
      <c r="R18" s="136">
        <f>'TISWADI '!S18</f>
        <v>134975.25863590557</v>
      </c>
      <c r="T18" s="75">
        <v>0</v>
      </c>
      <c r="U18" s="75">
        <v>0</v>
      </c>
      <c r="V18" s="75">
        <v>0</v>
      </c>
      <c r="W18" s="75">
        <v>25988.0278286268</v>
      </c>
      <c r="X18" s="75">
        <v>35556.3208629524</v>
      </c>
      <c r="Y18" s="75">
        <v>61544.3486915792</v>
      </c>
    </row>
    <row r="19" spans="1:25" s="73" customFormat="1" ht="18.75">
      <c r="A19" s="138"/>
      <c r="B19" s="138">
        <v>13</v>
      </c>
      <c r="C19" s="138" t="s">
        <v>72</v>
      </c>
      <c r="D19" s="137" t="s">
        <v>507</v>
      </c>
      <c r="E19" s="136">
        <f>'TISWADI '!D19</f>
        <v>0</v>
      </c>
      <c r="F19" s="136">
        <f>'TISWADI '!E19</f>
        <v>0</v>
      </c>
      <c r="G19" s="136">
        <f>'TISWADI '!F19</f>
        <v>0</v>
      </c>
      <c r="H19" s="136">
        <f>'TISWADI '!G19</f>
        <v>0</v>
      </c>
      <c r="I19" s="136">
        <f>'TISWADI '!H19</f>
        <v>0</v>
      </c>
      <c r="J19" s="136">
        <f>'TISWADI '!I19</f>
        <v>0</v>
      </c>
      <c r="K19" s="136">
        <f>'TISWADI '!J19</f>
        <v>0</v>
      </c>
      <c r="L19" s="136">
        <f>'TISWADI '!K19</f>
        <v>0</v>
      </c>
      <c r="M19" s="136">
        <f>'TISWADI '!L19</f>
        <v>0</v>
      </c>
      <c r="N19" s="136">
        <f>'TISWADI '!M19</f>
        <v>0</v>
      </c>
      <c r="O19" s="136">
        <f>'TISWADI '!N19</f>
        <v>44</v>
      </c>
      <c r="P19" s="136">
        <f>'TISWADI '!O19</f>
        <v>275</v>
      </c>
      <c r="Q19" s="136">
        <f>'TISWADI '!P19</f>
        <v>572</v>
      </c>
      <c r="R19" s="136">
        <f>'TISWADI '!S19</f>
        <v>891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</row>
    <row r="20" spans="1:25" s="73" customFormat="1" ht="18.75">
      <c r="A20" s="138"/>
      <c r="B20" s="138">
        <v>14</v>
      </c>
      <c r="C20" s="138" t="s">
        <v>73</v>
      </c>
      <c r="D20" s="137" t="s">
        <v>507</v>
      </c>
      <c r="E20" s="136">
        <f>'TISWADI '!D20</f>
        <v>500</v>
      </c>
      <c r="F20" s="136">
        <f>'TISWADI '!E20</f>
        <v>0</v>
      </c>
      <c r="G20" s="136">
        <f>'TISWADI '!F20</f>
        <v>500</v>
      </c>
      <c r="H20" s="136">
        <f>'TISWADI '!G20</f>
        <v>0</v>
      </c>
      <c r="I20" s="136">
        <f>'TISWADI '!H20</f>
        <v>0</v>
      </c>
      <c r="J20" s="136">
        <f>'TISWADI '!I20</f>
        <v>500</v>
      </c>
      <c r="K20" s="136">
        <f>'TISWADI '!J20</f>
        <v>43.115757270876394</v>
      </c>
      <c r="L20" s="136">
        <f>'TISWADI '!K20</f>
        <v>65.82578600137505</v>
      </c>
      <c r="M20" s="136">
        <f>'TISWADI '!L20</f>
        <v>100.53392771119097</v>
      </c>
      <c r="N20" s="136">
        <f>'TISWADI '!M20</f>
        <v>148.40722662128192</v>
      </c>
      <c r="O20" s="136">
        <f>'TISWADI '!N20</f>
        <v>44</v>
      </c>
      <c r="P20" s="136">
        <f>'TISWADI '!O20</f>
        <v>275</v>
      </c>
      <c r="Q20" s="136">
        <f>'TISWADI '!P20</f>
        <v>572</v>
      </c>
      <c r="R20" s="136">
        <f>'TISWADI '!S20</f>
        <v>1748.8826976047244</v>
      </c>
      <c r="T20" s="75">
        <v>0</v>
      </c>
      <c r="U20" s="75">
        <v>0</v>
      </c>
      <c r="V20" s="75">
        <v>0</v>
      </c>
      <c r="W20" s="75">
        <v>10</v>
      </c>
      <c r="X20" s="75">
        <v>500</v>
      </c>
      <c r="Y20" s="75">
        <v>510</v>
      </c>
    </row>
    <row r="21" spans="1:25" s="73" customFormat="1" ht="18.75">
      <c r="A21" s="138"/>
      <c r="B21" s="138">
        <v>15</v>
      </c>
      <c r="C21" s="138" t="s">
        <v>74</v>
      </c>
      <c r="D21" s="137" t="s">
        <v>508</v>
      </c>
      <c r="E21" s="136">
        <f>'TISWADI '!D21</f>
        <v>689.5566881781731</v>
      </c>
      <c r="F21" s="136">
        <f>'TISWADI '!E21</f>
        <v>0</v>
      </c>
      <c r="G21" s="136">
        <f>'TISWADI '!F21</f>
        <v>689.5566881781731</v>
      </c>
      <c r="H21" s="136">
        <f>'TISWADI '!G21</f>
        <v>0</v>
      </c>
      <c r="I21" s="136">
        <f>'TISWADI '!H21</f>
        <v>0</v>
      </c>
      <c r="J21" s="136">
        <f>'TISWADI '!I21</f>
        <v>689.5566881781731</v>
      </c>
      <c r="K21" s="136">
        <f>'TISWADI '!J21</f>
        <v>43.115757270876394</v>
      </c>
      <c r="L21" s="136">
        <f>'TISWADI '!K21</f>
        <v>65.82578600137505</v>
      </c>
      <c r="M21" s="136">
        <f>'TISWADI '!L21</f>
        <v>100.53392771119097</v>
      </c>
      <c r="N21" s="136">
        <f>'TISWADI '!M21</f>
        <v>148.40722662128192</v>
      </c>
      <c r="O21" s="136">
        <f>'TISWADI '!N21</f>
        <v>44</v>
      </c>
      <c r="P21" s="136">
        <f>'TISWADI '!O21</f>
        <v>275</v>
      </c>
      <c r="Q21" s="136">
        <f>'TISWADI '!P21</f>
        <v>572</v>
      </c>
      <c r="R21" s="136">
        <f>'TISWADI '!S21</f>
        <v>1938.4393857828975</v>
      </c>
      <c r="T21" s="75">
        <v>550</v>
      </c>
      <c r="U21" s="75">
        <v>0</v>
      </c>
      <c r="V21" s="75">
        <v>550</v>
      </c>
      <c r="W21" s="75">
        <v>10</v>
      </c>
      <c r="X21" s="75">
        <v>500</v>
      </c>
      <c r="Y21" s="75">
        <v>1060</v>
      </c>
    </row>
    <row r="22" spans="1:25" s="73" customFormat="1" ht="18.75">
      <c r="A22" s="138"/>
      <c r="B22" s="138">
        <v>16</v>
      </c>
      <c r="C22" s="138" t="s">
        <v>75</v>
      </c>
      <c r="D22" s="137" t="s">
        <v>507</v>
      </c>
      <c r="E22" s="136">
        <f>'TISWADI '!D22</f>
        <v>693.1171004558325</v>
      </c>
      <c r="F22" s="136">
        <f>'TISWADI '!E22</f>
        <v>0</v>
      </c>
      <c r="G22" s="136">
        <f>'TISWADI '!F22</f>
        <v>693.1171004558325</v>
      </c>
      <c r="H22" s="136">
        <f>'TISWADI '!G22</f>
        <v>0</v>
      </c>
      <c r="I22" s="136">
        <f>'TISWADI '!H22</f>
        <v>0</v>
      </c>
      <c r="J22" s="136">
        <f>'TISWADI '!I22</f>
        <v>693.1171004558325</v>
      </c>
      <c r="K22" s="136">
        <f>'TISWADI '!J22</f>
        <v>43.115757270876394</v>
      </c>
      <c r="L22" s="136">
        <f>'TISWADI '!K22</f>
        <v>65.82578600137505</v>
      </c>
      <c r="M22" s="136">
        <f>'TISWADI '!L22</f>
        <v>100.53392771119097</v>
      </c>
      <c r="N22" s="136">
        <f>'TISWADI '!M22</f>
        <v>148.40722662128192</v>
      </c>
      <c r="O22" s="136">
        <f>'TISWADI '!N22</f>
        <v>44</v>
      </c>
      <c r="P22" s="136">
        <f>'TISWADI '!O22</f>
        <v>275</v>
      </c>
      <c r="Q22" s="136">
        <f>'TISWADI '!P22</f>
        <v>572</v>
      </c>
      <c r="R22" s="136">
        <f>'TISWADI '!S22</f>
        <v>1941.999798060557</v>
      </c>
      <c r="T22" s="75">
        <v>554</v>
      </c>
      <c r="U22" s="75">
        <v>0</v>
      </c>
      <c r="V22" s="75">
        <v>554</v>
      </c>
      <c r="W22" s="75">
        <v>10</v>
      </c>
      <c r="X22" s="75">
        <v>500</v>
      </c>
      <c r="Y22" s="75">
        <v>1064</v>
      </c>
    </row>
    <row r="23" spans="1:25" s="73" customFormat="1" ht="18.75">
      <c r="A23" s="138"/>
      <c r="B23" s="138">
        <v>17</v>
      </c>
      <c r="C23" s="138" t="s">
        <v>76</v>
      </c>
      <c r="D23" s="137" t="s">
        <v>507</v>
      </c>
      <c r="E23" s="136">
        <f>'TISWADI '!D23</f>
        <v>0</v>
      </c>
      <c r="F23" s="136">
        <f>'TISWADI '!E23</f>
        <v>0</v>
      </c>
      <c r="G23" s="136">
        <f>'TISWADI '!F23</f>
        <v>0</v>
      </c>
      <c r="H23" s="136">
        <f>'TISWADI '!G23</f>
        <v>0</v>
      </c>
      <c r="I23" s="136">
        <f>'TISWADI '!H23</f>
        <v>0</v>
      </c>
      <c r="J23" s="136">
        <f>'TISWADI '!I23</f>
        <v>0</v>
      </c>
      <c r="K23" s="136">
        <f>'TISWADI '!J23</f>
        <v>43.115757270876394</v>
      </c>
      <c r="L23" s="136">
        <f>'TISWADI '!K23</f>
        <v>65.82578600137505</v>
      </c>
      <c r="M23" s="136">
        <f>'TISWADI '!L23</f>
        <v>100.53392771119097</v>
      </c>
      <c r="N23" s="136">
        <f>'TISWADI '!M23</f>
        <v>148.40722662128192</v>
      </c>
      <c r="O23" s="136">
        <f>'TISWADI '!N23</f>
        <v>44</v>
      </c>
      <c r="P23" s="136">
        <f>'TISWADI '!O23</f>
        <v>275</v>
      </c>
      <c r="Q23" s="136">
        <f>'TISWADI '!P23</f>
        <v>572</v>
      </c>
      <c r="R23" s="136">
        <f>'TISWADI '!S23</f>
        <v>1248.8826976047244</v>
      </c>
      <c r="T23" s="75">
        <v>0</v>
      </c>
      <c r="U23" s="75">
        <v>0</v>
      </c>
      <c r="V23" s="75">
        <v>0</v>
      </c>
      <c r="W23" s="75">
        <v>10</v>
      </c>
      <c r="X23" s="75">
        <v>500</v>
      </c>
      <c r="Y23" s="75">
        <v>510</v>
      </c>
    </row>
    <row r="24" spans="1:25" s="73" customFormat="1" ht="18.75">
      <c r="A24" s="138"/>
      <c r="B24" s="138">
        <v>18</v>
      </c>
      <c r="C24" s="138" t="s">
        <v>77</v>
      </c>
      <c r="D24" s="137" t="s">
        <v>507</v>
      </c>
      <c r="E24" s="136">
        <f>'TISWADI '!D24</f>
        <v>0</v>
      </c>
      <c r="F24" s="136">
        <f>'TISWADI '!E24</f>
        <v>0</v>
      </c>
      <c r="G24" s="136">
        <f>'TISWADI '!F24</f>
        <v>0</v>
      </c>
      <c r="H24" s="136">
        <f>'TISWADI '!G24</f>
        <v>0</v>
      </c>
      <c r="I24" s="136">
        <f>'TISWADI '!H24</f>
        <v>0</v>
      </c>
      <c r="J24" s="136">
        <f>'TISWADI '!I24</f>
        <v>0</v>
      </c>
      <c r="K24" s="136">
        <f>'TISWADI '!J24</f>
        <v>3454403.9661119785</v>
      </c>
      <c r="L24" s="136">
        <f>'TISWADI '!K24</f>
        <v>658.2578600137505</v>
      </c>
      <c r="M24" s="136">
        <f>'TISWADI '!L24</f>
        <v>1005.3392771119096</v>
      </c>
      <c r="N24" s="136">
        <f>'TISWADI '!M24</f>
        <v>1484.0722662128192</v>
      </c>
      <c r="O24" s="136">
        <f>'TISWADI '!N24</f>
        <v>44</v>
      </c>
      <c r="P24" s="136">
        <f>'TISWADI '!O24</f>
        <v>275</v>
      </c>
      <c r="Q24" s="136">
        <f>'TISWADI '!P24</f>
        <v>572</v>
      </c>
      <c r="R24" s="136">
        <f>'TISWADI '!S24</f>
        <v>3458442.635515317</v>
      </c>
      <c r="T24" s="75">
        <v>0</v>
      </c>
      <c r="U24" s="75">
        <v>0</v>
      </c>
      <c r="V24" s="75">
        <v>0</v>
      </c>
      <c r="W24" s="75">
        <v>801192.924528625</v>
      </c>
      <c r="X24" s="75">
        <v>5000</v>
      </c>
      <c r="Y24" s="75">
        <v>806192.924528625</v>
      </c>
    </row>
    <row r="25" spans="1:25" s="73" customFormat="1" ht="18.75">
      <c r="A25" s="138">
        <v>18</v>
      </c>
      <c r="B25" s="138"/>
      <c r="C25" s="138" t="s">
        <v>78</v>
      </c>
      <c r="D25" s="137"/>
      <c r="E25" s="136">
        <f>'TISWADI '!D25</f>
        <v>77042.20756412708</v>
      </c>
      <c r="F25" s="136">
        <f>'TISWADI '!E25</f>
        <v>1579.8541170528072</v>
      </c>
      <c r="G25" s="136">
        <f>'TISWADI '!F25</f>
        <v>78622.06168117988</v>
      </c>
      <c r="H25" s="136">
        <f>'TISWADI '!G25</f>
        <v>185.23605131459766</v>
      </c>
      <c r="I25" s="136">
        <f>'TISWADI '!H25</f>
        <v>189.11954231166735</v>
      </c>
      <c r="J25" s="136">
        <f>'TISWADI '!I25</f>
        <v>78996.41727480615</v>
      </c>
      <c r="K25" s="136">
        <f>'TISWADI '!J25</f>
        <v>3587853.0914936056</v>
      </c>
      <c r="L25" s="136">
        <f>'TISWADI '!K25</f>
        <v>40962.66632482333</v>
      </c>
      <c r="M25" s="136">
        <f>'TISWADI '!L25</f>
        <v>63563.8903870029</v>
      </c>
      <c r="N25" s="136">
        <f>'TISWADI '!M25</f>
        <v>95057.64771414708</v>
      </c>
      <c r="O25" s="136">
        <f>'TISWADI '!N25</f>
        <v>792</v>
      </c>
      <c r="P25" s="136">
        <f>'TISWADI '!O25</f>
        <v>4950</v>
      </c>
      <c r="Q25" s="136">
        <f>'TISWADI '!P25</f>
        <v>10296</v>
      </c>
      <c r="R25" s="136">
        <f>'TISWADI '!S25</f>
        <v>3882471.7131943847</v>
      </c>
      <c r="T25" s="75">
        <v>84982.4028996138</v>
      </c>
      <c r="U25" s="75">
        <v>1745.82480094686</v>
      </c>
      <c r="V25" s="75">
        <v>86728.2277005606</v>
      </c>
      <c r="W25" s="75">
        <v>832145.28287848</v>
      </c>
      <c r="X25" s="75">
        <v>320260.497728919</v>
      </c>
      <c r="Y25" s="75">
        <v>1239133.00830796</v>
      </c>
    </row>
    <row r="26" spans="1:25" s="73" customFormat="1" ht="18.75">
      <c r="A26" s="138"/>
      <c r="B26" s="138"/>
      <c r="C26" s="138"/>
      <c r="D26" s="141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42"/>
      <c r="T26" s="74">
        <v>3882471.7131943847</v>
      </c>
      <c r="U26" s="74"/>
      <c r="V26" s="74"/>
      <c r="W26" s="74"/>
      <c r="X26" s="74"/>
      <c r="Y26" s="74"/>
    </row>
    <row r="27" spans="1:25" s="73" customFormat="1" ht="18.75">
      <c r="A27" s="138"/>
      <c r="B27" s="138"/>
      <c r="C27" s="138" t="s">
        <v>42</v>
      </c>
      <c r="D27" s="141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T27" s="74"/>
      <c r="U27" s="74"/>
      <c r="V27" s="74"/>
      <c r="W27" s="74"/>
      <c r="X27" s="74"/>
      <c r="Y27" s="74"/>
    </row>
    <row r="28" spans="1:25" s="73" customFormat="1" ht="18.75">
      <c r="A28" s="138"/>
      <c r="B28" s="138">
        <v>19</v>
      </c>
      <c r="C28" s="138" t="s">
        <v>206</v>
      </c>
      <c r="D28" s="137" t="s">
        <v>507</v>
      </c>
      <c r="E28" s="136">
        <f>BARDEZ!D7</f>
        <v>0</v>
      </c>
      <c r="F28" s="136">
        <f>BARDEZ!E7</f>
        <v>0</v>
      </c>
      <c r="G28" s="136">
        <f>BARDEZ!F7</f>
        <v>0</v>
      </c>
      <c r="H28" s="136">
        <f>BARDEZ!G7</f>
        <v>0</v>
      </c>
      <c r="I28" s="136">
        <f>BARDEZ!H7</f>
        <v>0</v>
      </c>
      <c r="J28" s="136">
        <f>BARDEZ!I7</f>
        <v>0</v>
      </c>
      <c r="K28" s="136">
        <f>BARDEZ!J7</f>
        <v>806306.840127336</v>
      </c>
      <c r="L28" s="136">
        <f>BARDEZ!K7</f>
        <v>32104.738277919307</v>
      </c>
      <c r="M28" s="136">
        <f>BARDEZ!L7</f>
        <v>49262.29118809493</v>
      </c>
      <c r="N28" s="136">
        <f>BARDEZ!M7</f>
        <v>72679.19175385444</v>
      </c>
      <c r="O28" s="136">
        <f>BARDEZ!N7</f>
        <v>39.2375</v>
      </c>
      <c r="P28" s="136">
        <f>BARDEZ!O7</f>
        <v>242.5</v>
      </c>
      <c r="Q28" s="136">
        <f>BARDEZ!P7</f>
        <v>518.09375</v>
      </c>
      <c r="R28" s="136">
        <f>BARDEZ!R7</f>
        <v>961152.8925972047</v>
      </c>
      <c r="T28" s="75">
        <v>0</v>
      </c>
      <c r="U28" s="75">
        <v>0</v>
      </c>
      <c r="V28" s="75">
        <v>0</v>
      </c>
      <c r="W28" s="75">
        <v>187026.482003141</v>
      </c>
      <c r="X28" s="75">
        <v>244864.058875392</v>
      </c>
      <c r="Y28" s="75">
        <v>431889.540878533</v>
      </c>
    </row>
    <row r="29" spans="1:25" s="73" customFormat="1" ht="18.75">
      <c r="A29" s="138"/>
      <c r="B29" s="138">
        <v>20</v>
      </c>
      <c r="C29" s="138" t="s">
        <v>207</v>
      </c>
      <c r="D29" s="137" t="s">
        <v>508</v>
      </c>
      <c r="E29" s="136">
        <f>BARDEZ!D8</f>
        <v>37135.250708797714</v>
      </c>
      <c r="F29" s="136">
        <f>BARDEZ!E8</f>
        <v>0</v>
      </c>
      <c r="G29" s="136">
        <f>BARDEZ!F8</f>
        <v>37135.250708797714</v>
      </c>
      <c r="H29" s="136">
        <f>BARDEZ!G8</f>
        <v>0</v>
      </c>
      <c r="I29" s="136">
        <f>BARDEZ!H8</f>
        <v>0</v>
      </c>
      <c r="J29" s="136">
        <f>BARDEZ!I8</f>
        <v>37135.250708797714</v>
      </c>
      <c r="K29" s="136">
        <f>BARDEZ!J8</f>
        <v>0</v>
      </c>
      <c r="L29" s="136">
        <f>BARDEZ!K8</f>
        <v>263.3031440055002</v>
      </c>
      <c r="M29" s="136">
        <f>BARDEZ!L8</f>
        <v>402.1357108447639</v>
      </c>
      <c r="N29" s="136">
        <f>BARDEZ!M8</f>
        <v>593.6289064851277</v>
      </c>
      <c r="O29" s="136">
        <f>BARDEZ!N8</f>
        <v>39.2375</v>
      </c>
      <c r="P29" s="136">
        <f>BARDEZ!O8</f>
        <v>242.5</v>
      </c>
      <c r="Q29" s="136">
        <f>BARDEZ!P8</f>
        <v>501.09375</v>
      </c>
      <c r="R29" s="136">
        <f>BARDEZ!R8</f>
        <v>39177.14972013311</v>
      </c>
      <c r="T29" s="75">
        <v>41286.5832221414</v>
      </c>
      <c r="U29" s="75">
        <v>0</v>
      </c>
      <c r="V29" s="75">
        <v>41286.5832221414</v>
      </c>
      <c r="W29" s="75">
        <v>0</v>
      </c>
      <c r="X29" s="75">
        <v>2000</v>
      </c>
      <c r="Y29" s="75">
        <v>43286.5832221414</v>
      </c>
    </row>
    <row r="30" spans="1:25" s="73" customFormat="1" ht="18.75">
      <c r="A30" s="138"/>
      <c r="B30" s="138">
        <v>21</v>
      </c>
      <c r="C30" s="138" t="s">
        <v>509</v>
      </c>
      <c r="D30" s="137" t="s">
        <v>507</v>
      </c>
      <c r="E30" s="136">
        <f>BARDEZ!D9</f>
        <v>2152.6868058094274</v>
      </c>
      <c r="F30" s="136">
        <f>BARDEZ!E9</f>
        <v>15997.546962211673</v>
      </c>
      <c r="G30" s="136">
        <f>BARDEZ!F9</f>
        <v>18150.2337680211</v>
      </c>
      <c r="H30" s="136">
        <f>BARDEZ!G9</f>
        <v>1936.4494979323076</v>
      </c>
      <c r="I30" s="136">
        <f>BARDEZ!H9</f>
        <v>1813.7581559278742</v>
      </c>
      <c r="J30" s="136">
        <f>BARDEZ!I9</f>
        <v>21900.44142188128</v>
      </c>
      <c r="K30" s="136">
        <f>BARDEZ!J9</f>
        <v>81333.94138210664</v>
      </c>
      <c r="L30" s="136">
        <f>BARDEZ!K9</f>
        <v>25983.490549556678</v>
      </c>
      <c r="M30" s="136">
        <f>BARDEZ!L9</f>
        <v>39683.876475686564</v>
      </c>
      <c r="N30" s="136">
        <f>BARDEZ!M9</f>
        <v>58580.96051172778</v>
      </c>
      <c r="O30" s="136">
        <f>BARDEZ!N9</f>
        <v>39.2375</v>
      </c>
      <c r="P30" s="136">
        <f>BARDEZ!O9</f>
        <v>242.5</v>
      </c>
      <c r="Q30" s="136">
        <f>BARDEZ!P9</f>
        <v>501.09375</v>
      </c>
      <c r="R30" s="136">
        <f>BARDEZ!R9</f>
        <v>228265.54159095892</v>
      </c>
      <c r="T30" s="75">
        <v>2391.72452456611</v>
      </c>
      <c r="U30" s="75">
        <v>17972.69048036</v>
      </c>
      <c r="V30" s="75">
        <v>20365.4150049261</v>
      </c>
      <c r="W30" s="75">
        <v>18864.0874080265</v>
      </c>
      <c r="X30" s="75">
        <v>197365.592786191</v>
      </c>
      <c r="Y30" s="75">
        <v>236595.095199144</v>
      </c>
    </row>
    <row r="31" spans="1:25" s="73" customFormat="1" ht="18.75">
      <c r="A31" s="138"/>
      <c r="B31" s="138">
        <v>22</v>
      </c>
      <c r="C31" s="138" t="s">
        <v>209</v>
      </c>
      <c r="D31" s="137" t="s">
        <v>508</v>
      </c>
      <c r="E31" s="136">
        <f>BARDEZ!D10</f>
        <v>448.47641787696443</v>
      </c>
      <c r="F31" s="136">
        <f>BARDEZ!E10</f>
        <v>656.8425336856116</v>
      </c>
      <c r="G31" s="136">
        <f>BARDEZ!F10</f>
        <v>1105.3189515625759</v>
      </c>
      <c r="H31" s="136">
        <f>BARDEZ!G10</f>
        <v>79.50858950941566</v>
      </c>
      <c r="I31" s="136">
        <f>BARDEZ!H10</f>
        <v>74.47101142736086</v>
      </c>
      <c r="J31" s="136">
        <f>BARDEZ!I10</f>
        <v>1259.2985524993524</v>
      </c>
      <c r="K31" s="136">
        <f>BARDEZ!J10</f>
        <v>2032.3410000625486</v>
      </c>
      <c r="L31" s="136">
        <f>BARDEZ!K10</f>
        <v>1738.2321094925394</v>
      </c>
      <c r="M31" s="136">
        <f>BARDEZ!L10</f>
        <v>2654.754494497696</v>
      </c>
      <c r="N31" s="136">
        <f>BARDEZ!M10</f>
        <v>3918.923301401361</v>
      </c>
      <c r="O31" s="136">
        <f>BARDEZ!N10</f>
        <v>39.2375</v>
      </c>
      <c r="P31" s="136">
        <f>BARDEZ!O10</f>
        <v>242.5</v>
      </c>
      <c r="Q31" s="136">
        <f>BARDEZ!P10</f>
        <v>501.09375</v>
      </c>
      <c r="R31" s="136">
        <f>BARDEZ!R10</f>
        <v>12386.380707953496</v>
      </c>
      <c r="T31" s="75">
        <v>498.27594261794</v>
      </c>
      <c r="U31" s="75">
        <v>737.939859164186</v>
      </c>
      <c r="V31" s="75">
        <v>1236.21580178213</v>
      </c>
      <c r="W31" s="75">
        <v>471.368503931008</v>
      </c>
      <c r="X31" s="75">
        <v>13203.2765203611</v>
      </c>
      <c r="Y31" s="75">
        <v>14909.8608260742</v>
      </c>
    </row>
    <row r="32" spans="1:25" s="73" customFormat="1" ht="18.75">
      <c r="A32" s="138"/>
      <c r="B32" s="138">
        <v>23</v>
      </c>
      <c r="C32" s="138" t="s">
        <v>210</v>
      </c>
      <c r="D32" s="137" t="s">
        <v>507</v>
      </c>
      <c r="E32" s="136">
        <f>BARDEZ!D11</f>
        <v>9324.038287861113</v>
      </c>
      <c r="F32" s="136">
        <f>BARDEZ!E11</f>
        <v>12005.512936588035</v>
      </c>
      <c r="G32" s="136">
        <f>BARDEZ!F11</f>
        <v>21329.551224449147</v>
      </c>
      <c r="H32" s="136">
        <f>BARDEZ!G11</f>
        <v>1453.2271449735854</v>
      </c>
      <c r="I32" s="136">
        <f>BARDEZ!H11</f>
        <v>1361.1522476708349</v>
      </c>
      <c r="J32" s="136">
        <f>BARDEZ!I11</f>
        <v>24143.930617093567</v>
      </c>
      <c r="K32" s="136">
        <f>BARDEZ!J11</f>
        <v>14733.032915467606</v>
      </c>
      <c r="L32" s="136">
        <f>BARDEZ!K11</f>
        <v>13036.160765985067</v>
      </c>
      <c r="M32" s="136">
        <f>BARDEZ!L11</f>
        <v>19909.772806231736</v>
      </c>
      <c r="N32" s="136">
        <f>BARDEZ!M11</f>
        <v>29390.61699967542</v>
      </c>
      <c r="O32" s="136">
        <f>BARDEZ!N11</f>
        <v>39.2375</v>
      </c>
      <c r="P32" s="136">
        <f>BARDEZ!O11</f>
        <v>242.5</v>
      </c>
      <c r="Q32" s="136">
        <f>BARDEZ!P11</f>
        <v>501.09375</v>
      </c>
      <c r="R32" s="136">
        <f>BARDEZ!R11</f>
        <v>101996.3453544534</v>
      </c>
      <c r="T32" s="75">
        <v>10359.3941212854</v>
      </c>
      <c r="U32" s="75">
        <v>13487.7783810815</v>
      </c>
      <c r="V32" s="75">
        <v>23847.1725023668</v>
      </c>
      <c r="W32" s="75">
        <v>3417.08782311459</v>
      </c>
      <c r="X32" s="75">
        <v>99020.1679149927</v>
      </c>
      <c r="Y32" s="75">
        <v>126284.428240474</v>
      </c>
    </row>
    <row r="33" spans="1:25" s="73" customFormat="1" ht="18.75">
      <c r="A33" s="138"/>
      <c r="B33" s="138">
        <v>24</v>
      </c>
      <c r="C33" s="138" t="s">
        <v>211</v>
      </c>
      <c r="D33" s="137" t="s">
        <v>508</v>
      </c>
      <c r="E33" s="136">
        <f>BARDEZ!D12</f>
        <v>9324.038287861113</v>
      </c>
      <c r="F33" s="136">
        <f>BARDEZ!E12</f>
        <v>7821.267151770063</v>
      </c>
      <c r="G33" s="136">
        <f>BARDEZ!F12</f>
        <v>17145.305439631175</v>
      </c>
      <c r="H33" s="136">
        <f>BARDEZ!G12</f>
        <v>946.7382021140642</v>
      </c>
      <c r="I33" s="136">
        <f>BARDEZ!H12</f>
        <v>886.7538954392617</v>
      </c>
      <c r="J33" s="136">
        <f>BARDEZ!I12</f>
        <v>18978.797537184502</v>
      </c>
      <c r="K33" s="136">
        <f>BARDEZ!J12</f>
        <v>4070.439340068613</v>
      </c>
      <c r="L33" s="136">
        <f>BARDEZ!K12</f>
        <v>8690.773843990059</v>
      </c>
      <c r="M33" s="136">
        <f>BARDEZ!L12</f>
        <v>13273.18187082118</v>
      </c>
      <c r="N33" s="136">
        <f>BARDEZ!M12</f>
        <v>19593.74466645031</v>
      </c>
      <c r="O33" s="136">
        <f>BARDEZ!N12</f>
        <v>39.2375</v>
      </c>
      <c r="P33" s="136">
        <f>BARDEZ!O12</f>
        <v>242.5</v>
      </c>
      <c r="Q33" s="136">
        <f>BARDEZ!P12</f>
        <v>501.09375</v>
      </c>
      <c r="R33" s="136">
        <f>BARDEZ!R12</f>
        <v>65389.768508514666</v>
      </c>
      <c r="T33" s="75">
        <v>10359.3941212854</v>
      </c>
      <c r="U33" s="75">
        <v>8786.923021074</v>
      </c>
      <c r="V33" s="75">
        <v>19146.3171423594</v>
      </c>
      <c r="W33" s="75">
        <v>944.072329402896</v>
      </c>
      <c r="X33" s="75">
        <v>66013.4452766619</v>
      </c>
      <c r="Y33" s="75">
        <v>86102.8347484242</v>
      </c>
    </row>
    <row r="34" spans="1:25" s="73" customFormat="1" ht="18.75">
      <c r="A34" s="138"/>
      <c r="B34" s="138">
        <v>25</v>
      </c>
      <c r="C34" s="138" t="s">
        <v>212</v>
      </c>
      <c r="D34" s="137" t="s">
        <v>508</v>
      </c>
      <c r="E34" s="136">
        <f>BARDEZ!D13</f>
        <v>448.47641787696443</v>
      </c>
      <c r="F34" s="136">
        <f>BARDEZ!E13</f>
        <v>3274.4090485223014</v>
      </c>
      <c r="G34" s="136">
        <f>BARDEZ!F13</f>
        <v>3722.885466399266</v>
      </c>
      <c r="H34" s="136">
        <f>BARDEZ!G13</f>
        <v>396.35625218126603</v>
      </c>
      <c r="I34" s="136">
        <f>BARDEZ!H13</f>
        <v>371.24354950355996</v>
      </c>
      <c r="J34" s="136">
        <f>BARDEZ!I13</f>
        <v>4490.485268084092</v>
      </c>
      <c r="K34" s="136">
        <f>BARDEZ!J13</f>
        <v>2032.3410000625486</v>
      </c>
      <c r="L34" s="136">
        <f>BARDEZ!K13</f>
        <v>1738.2321094925394</v>
      </c>
      <c r="M34" s="136">
        <f>BARDEZ!L13</f>
        <v>2654.754494497696</v>
      </c>
      <c r="N34" s="136">
        <f>BARDEZ!M13</f>
        <v>3918.923301401361</v>
      </c>
      <c r="O34" s="136">
        <f>BARDEZ!N13</f>
        <v>39.2375</v>
      </c>
      <c r="P34" s="136">
        <f>BARDEZ!O13</f>
        <v>242.5</v>
      </c>
      <c r="Q34" s="136">
        <f>BARDEZ!P13</f>
        <v>501.09375</v>
      </c>
      <c r="R34" s="136">
        <f>BARDEZ!R13</f>
        <v>15617.567423538236</v>
      </c>
      <c r="T34" s="75">
        <v>498.27594261794</v>
      </c>
      <c r="U34" s="75">
        <v>3678.68526807221</v>
      </c>
      <c r="V34" s="75">
        <v>4176.96121069015</v>
      </c>
      <c r="W34" s="75">
        <v>471.368503931008</v>
      </c>
      <c r="X34" s="75">
        <v>13203.2765203611</v>
      </c>
      <c r="Y34" s="75">
        <v>17850.6062349823</v>
      </c>
    </row>
    <row r="35" spans="1:25" s="73" customFormat="1" ht="18.75">
      <c r="A35" s="138"/>
      <c r="B35" s="138">
        <v>26</v>
      </c>
      <c r="C35" s="138" t="s">
        <v>213</v>
      </c>
      <c r="D35" s="137" t="s">
        <v>507</v>
      </c>
      <c r="E35" s="136">
        <f>BARDEZ!D14</f>
        <v>0</v>
      </c>
      <c r="F35" s="136">
        <f>BARDEZ!E14</f>
        <v>3503.8137543169787</v>
      </c>
      <c r="G35" s="136">
        <f>BARDEZ!F14</f>
        <v>3503.8137543169787</v>
      </c>
      <c r="H35" s="136">
        <f>BARDEZ!G14</f>
        <v>424.124923741271</v>
      </c>
      <c r="I35" s="136">
        <f>BARDEZ!H14</f>
        <v>397.25282812147424</v>
      </c>
      <c r="J35" s="136">
        <f>BARDEZ!I14</f>
        <v>4325.1915061797245</v>
      </c>
      <c r="K35" s="136">
        <f>BARDEZ!J14</f>
        <v>17784.423085533177</v>
      </c>
      <c r="L35" s="136">
        <f>BARDEZ!K14</f>
        <v>6999.719558158937</v>
      </c>
      <c r="M35" s="136">
        <f>BARDEZ!L14</f>
        <v>10690.480779733649</v>
      </c>
      <c r="N35" s="136">
        <f>BARDEZ!M14</f>
        <v>15781.18591294015</v>
      </c>
      <c r="O35" s="136">
        <f>BARDEZ!N14</f>
        <v>39.2375</v>
      </c>
      <c r="P35" s="136">
        <f>BARDEZ!O14</f>
        <v>242.5</v>
      </c>
      <c r="Q35" s="136">
        <f>BARDEZ!P14</f>
        <v>501.09375</v>
      </c>
      <c r="R35" s="136">
        <f>BARDEZ!R14</f>
        <v>56363.83209254564</v>
      </c>
      <c r="T35" s="75">
        <v>0</v>
      </c>
      <c r="U35" s="75">
        <v>3936.41351739224</v>
      </c>
      <c r="V35" s="75">
        <v>3936.41351739224</v>
      </c>
      <c r="W35" s="75">
        <v>4124.80823978154</v>
      </c>
      <c r="X35" s="75">
        <v>53168.5224238167</v>
      </c>
      <c r="Y35" s="75">
        <v>61229.7441809905</v>
      </c>
    </row>
    <row r="36" spans="1:25" s="73" customFormat="1" ht="18.75">
      <c r="A36" s="138"/>
      <c r="B36" s="138">
        <v>27</v>
      </c>
      <c r="C36" s="138" t="s">
        <v>214</v>
      </c>
      <c r="D36" s="137" t="s">
        <v>508</v>
      </c>
      <c r="E36" s="136">
        <f>BARDEZ!D15</f>
        <v>0</v>
      </c>
      <c r="F36" s="136">
        <f>BARDEZ!E15</f>
        <v>590.1779183264744</v>
      </c>
      <c r="G36" s="136">
        <f>BARDEZ!F15</f>
        <v>590.1779183264744</v>
      </c>
      <c r="H36" s="136">
        <f>BARDEZ!G15</f>
        <v>71.43906102189281</v>
      </c>
      <c r="I36" s="136">
        <f>BARDEZ!H15</f>
        <v>66.9127595213003</v>
      </c>
      <c r="J36" s="136">
        <f>BARDEZ!I15</f>
        <v>728.5297388696674</v>
      </c>
      <c r="K36" s="136">
        <f>BARDEZ!J15</f>
        <v>3252.897068088778</v>
      </c>
      <c r="L36" s="136">
        <f>BARDEZ!K15</f>
        <v>4563.1009770882965</v>
      </c>
      <c r="M36" s="136">
        <f>BARDEZ!L15</f>
        <v>6969.099674098488</v>
      </c>
      <c r="N36" s="136">
        <f>BARDEZ!M15</f>
        <v>10287.71856652634</v>
      </c>
      <c r="O36" s="136">
        <f>BARDEZ!N15</f>
        <v>39.2375</v>
      </c>
      <c r="P36" s="136">
        <f>BARDEZ!O15</f>
        <v>242.5</v>
      </c>
      <c r="Q36" s="136">
        <f>BARDEZ!P15</f>
        <v>501.09375</v>
      </c>
      <c r="R36" s="136">
        <f>BARDEZ!R15</f>
        <v>26584.17727467157</v>
      </c>
      <c r="T36" s="75">
        <v>0</v>
      </c>
      <c r="U36" s="75">
        <v>663.044470472895</v>
      </c>
      <c r="V36" s="75">
        <v>663.044470472895</v>
      </c>
      <c r="W36" s="75">
        <v>754.456670597788</v>
      </c>
      <c r="X36" s="75">
        <v>34660.4366941625</v>
      </c>
      <c r="Y36" s="75">
        <v>36076.9378352332</v>
      </c>
    </row>
    <row r="37" spans="1:25" s="73" customFormat="1" ht="18.75">
      <c r="A37" s="138"/>
      <c r="B37" s="138">
        <v>28</v>
      </c>
      <c r="C37" s="138" t="s">
        <v>215</v>
      </c>
      <c r="D37" s="137" t="s">
        <v>507</v>
      </c>
      <c r="E37" s="136">
        <f>BARDEZ!D16</f>
        <v>0</v>
      </c>
      <c r="F37" s="136">
        <f>BARDEZ!E16</f>
        <v>0</v>
      </c>
      <c r="G37" s="136">
        <f>BARDEZ!F16</f>
        <v>0</v>
      </c>
      <c r="H37" s="136">
        <f>BARDEZ!G16</f>
        <v>0</v>
      </c>
      <c r="I37" s="136">
        <f>BARDEZ!H16</f>
        <v>0</v>
      </c>
      <c r="J37" s="136">
        <f>BARDEZ!I16</f>
        <v>0</v>
      </c>
      <c r="K37" s="136">
        <f>BARDEZ!J16</f>
        <v>0</v>
      </c>
      <c r="L37" s="136">
        <f>BARDEZ!K16</f>
        <v>11736.190656995142</v>
      </c>
      <c r="M37" s="136">
        <f>BARDEZ!L16</f>
        <v>17924.363912501674</v>
      </c>
      <c r="N37" s="136">
        <f>BARDEZ!M16</f>
        <v>26353.77529940723</v>
      </c>
      <c r="O37" s="136">
        <f>BARDEZ!N16</f>
        <v>39.2375</v>
      </c>
      <c r="P37" s="136">
        <f>BARDEZ!O16</f>
        <v>242.5</v>
      </c>
      <c r="Q37" s="136">
        <f>BARDEZ!P16</f>
        <v>501.09375</v>
      </c>
      <c r="R37" s="136">
        <f>BARDEZ!R16</f>
        <v>56797.16111890405</v>
      </c>
      <c r="T37" s="75">
        <v>0</v>
      </c>
      <c r="U37" s="75">
        <v>0</v>
      </c>
      <c r="V37" s="75">
        <v>0</v>
      </c>
      <c r="W37" s="75">
        <v>0</v>
      </c>
      <c r="X37" s="75">
        <v>89145.8451916547</v>
      </c>
      <c r="Y37" s="75">
        <v>89145.8451916547</v>
      </c>
    </row>
    <row r="38" spans="1:25" s="73" customFormat="1" ht="18.75">
      <c r="A38" s="138"/>
      <c r="B38" s="138">
        <v>29</v>
      </c>
      <c r="C38" s="138" t="s">
        <v>216</v>
      </c>
      <c r="D38" s="137" t="s">
        <v>507</v>
      </c>
      <c r="E38" s="136">
        <f>BARDEZ!D17</f>
        <v>0</v>
      </c>
      <c r="F38" s="136">
        <f>BARDEZ!E17</f>
        <v>0</v>
      </c>
      <c r="G38" s="136">
        <f>BARDEZ!F17</f>
        <v>0</v>
      </c>
      <c r="H38" s="136">
        <f>BARDEZ!G17</f>
        <v>0</v>
      </c>
      <c r="I38" s="136">
        <f>BARDEZ!H17</f>
        <v>0</v>
      </c>
      <c r="J38" s="136">
        <f>BARDEZ!I17</f>
        <v>0</v>
      </c>
      <c r="K38" s="136">
        <f>BARDEZ!J17</f>
        <v>0</v>
      </c>
      <c r="L38" s="136">
        <f>BARDEZ!K17</f>
        <v>199.81487905959992</v>
      </c>
      <c r="M38" s="136">
        <f>BARDEZ!L17</f>
        <v>305.1718152910253</v>
      </c>
      <c r="N38" s="136">
        <f>BARDEZ!M17</f>
        <v>450.49172733437075</v>
      </c>
      <c r="O38" s="136">
        <f>BARDEZ!N17</f>
        <v>39.2375</v>
      </c>
      <c r="P38" s="136">
        <f>BARDEZ!O17</f>
        <v>242.5</v>
      </c>
      <c r="Q38" s="136">
        <f>BARDEZ!P17</f>
        <v>501.09375</v>
      </c>
      <c r="R38" s="136">
        <f>BARDEZ!R17</f>
        <v>1738.309671684996</v>
      </c>
      <c r="T38" s="75">
        <v>0</v>
      </c>
      <c r="U38" s="75">
        <v>0</v>
      </c>
      <c r="V38" s="75">
        <v>0</v>
      </c>
      <c r="W38" s="75">
        <v>0</v>
      </c>
      <c r="X38" s="75">
        <v>1517.75536</v>
      </c>
      <c r="Y38" s="75">
        <v>1517.75536</v>
      </c>
    </row>
    <row r="39" spans="1:25" s="73" customFormat="1" ht="18.75">
      <c r="A39" s="138"/>
      <c r="B39" s="138">
        <v>30</v>
      </c>
      <c r="C39" s="138" t="s">
        <v>217</v>
      </c>
      <c r="D39" s="137" t="s">
        <v>507</v>
      </c>
      <c r="E39" s="136">
        <f>BARDEZ!D18</f>
        <v>0</v>
      </c>
      <c r="F39" s="136">
        <f>BARDEZ!E18</f>
        <v>0</v>
      </c>
      <c r="G39" s="136">
        <f>BARDEZ!F18</f>
        <v>0</v>
      </c>
      <c r="H39" s="136">
        <f>BARDEZ!G18</f>
        <v>0</v>
      </c>
      <c r="I39" s="136">
        <f>BARDEZ!H18</f>
        <v>0</v>
      </c>
      <c r="J39" s="136">
        <f>BARDEZ!I18</f>
        <v>0</v>
      </c>
      <c r="K39" s="136">
        <f>BARDEZ!J18</f>
        <v>0</v>
      </c>
      <c r="L39" s="136">
        <f>BARDEZ!K18</f>
        <v>979.5198961834484</v>
      </c>
      <c r="M39" s="136">
        <f>BARDEZ!L18</f>
        <v>1495.994023261994</v>
      </c>
      <c r="N39" s="136">
        <f>BARDEZ!M18</f>
        <v>2208.3721295772293</v>
      </c>
      <c r="O39" s="136">
        <f>BARDEZ!N18</f>
        <v>39.2375</v>
      </c>
      <c r="P39" s="136">
        <f>BARDEZ!O18</f>
        <v>242.5</v>
      </c>
      <c r="Q39" s="136">
        <f>BARDEZ!P18</f>
        <v>501.09375</v>
      </c>
      <c r="R39" s="136">
        <f>BARDEZ!R18</f>
        <v>5466.717299022672</v>
      </c>
      <c r="T39" s="75">
        <v>0</v>
      </c>
      <c r="U39" s="75">
        <v>0</v>
      </c>
      <c r="V39" s="75">
        <v>0</v>
      </c>
      <c r="W39" s="75">
        <v>0</v>
      </c>
      <c r="X39" s="75">
        <v>7440.24458867067</v>
      </c>
      <c r="Y39" s="75">
        <v>7440.24458867067</v>
      </c>
    </row>
    <row r="40" spans="1:25" s="73" customFormat="1" ht="18.75">
      <c r="A40" s="138"/>
      <c r="B40" s="138">
        <v>31</v>
      </c>
      <c r="C40" s="138" t="s">
        <v>218</v>
      </c>
      <c r="D40" s="137" t="s">
        <v>508</v>
      </c>
      <c r="E40" s="136">
        <f>BARDEZ!D19</f>
        <v>0</v>
      </c>
      <c r="F40" s="136">
        <f>BARDEZ!E19</f>
        <v>0</v>
      </c>
      <c r="G40" s="136">
        <f>BARDEZ!F19</f>
        <v>0</v>
      </c>
      <c r="H40" s="136">
        <f>BARDEZ!G19</f>
        <v>0</v>
      </c>
      <c r="I40" s="136">
        <f>BARDEZ!H19</f>
        <v>0</v>
      </c>
      <c r="J40" s="136">
        <f>BARDEZ!I19</f>
        <v>0</v>
      </c>
      <c r="K40" s="136">
        <f>BARDEZ!J19</f>
        <v>522.8832764606358</v>
      </c>
      <c r="L40" s="136">
        <f>BARDEZ!K19</f>
        <v>99.90743952979996</v>
      </c>
      <c r="M40" s="136">
        <f>BARDEZ!L19</f>
        <v>152.58590764551266</v>
      </c>
      <c r="N40" s="136">
        <f>BARDEZ!M19</f>
        <v>225.24586366718538</v>
      </c>
      <c r="O40" s="136">
        <f>BARDEZ!N19</f>
        <v>39.2375</v>
      </c>
      <c r="P40" s="136">
        <f>BARDEZ!O19</f>
        <v>242.5</v>
      </c>
      <c r="Q40" s="136">
        <f>BARDEZ!P19</f>
        <v>501.09375</v>
      </c>
      <c r="R40" s="136">
        <f>BARDEZ!R19</f>
        <v>1783.4537373031337</v>
      </c>
      <c r="T40" s="75">
        <v>0</v>
      </c>
      <c r="U40" s="75">
        <v>0</v>
      </c>
      <c r="V40" s="75">
        <v>0</v>
      </c>
      <c r="W40" s="75">
        <v>121.274288</v>
      </c>
      <c r="X40" s="75">
        <v>758.87768</v>
      </c>
      <c r="Y40" s="75">
        <v>880.151968</v>
      </c>
    </row>
    <row r="41" spans="1:25" s="73" customFormat="1" ht="18.75">
      <c r="A41" s="138">
        <v>13</v>
      </c>
      <c r="B41" s="138"/>
      <c r="C41" s="138" t="s">
        <v>78</v>
      </c>
      <c r="D41" s="137"/>
      <c r="E41" s="136">
        <f>BARDEZ!D20</f>
        <v>58832.966926083296</v>
      </c>
      <c r="F41" s="136">
        <f>BARDEZ!E20</f>
        <v>43849.57030542113</v>
      </c>
      <c r="G41" s="136">
        <f>BARDEZ!F20</f>
        <v>102682.53723150444</v>
      </c>
      <c r="H41" s="136">
        <f>BARDEZ!G20</f>
        <v>5307.843671473803</v>
      </c>
      <c r="I41" s="136">
        <f>BARDEZ!H20</f>
        <v>4971.544447611666</v>
      </c>
      <c r="J41" s="136">
        <f>BARDEZ!I20</f>
        <v>112961.92535058991</v>
      </c>
      <c r="K41" s="136">
        <f>BARDEZ!J20</f>
        <v>932069.1391951866</v>
      </c>
      <c r="L41" s="136">
        <f>BARDEZ!K20</f>
        <v>108133.18420745691</v>
      </c>
      <c r="M41" s="136">
        <f>BARDEZ!L20</f>
        <v>165378.46315320692</v>
      </c>
      <c r="N41" s="136">
        <f>BARDEZ!M20</f>
        <v>243982.7789404483</v>
      </c>
      <c r="O41" s="136">
        <f>BARDEZ!N20</f>
        <v>510.0875000000001</v>
      </c>
      <c r="P41" s="136">
        <f>BARDEZ!O20</f>
        <v>3152.5</v>
      </c>
      <c r="Q41" s="136">
        <f>BARDEZ!P20</f>
        <v>6531.21875</v>
      </c>
      <c r="R41" s="136">
        <f>BARDEZ!R20</f>
        <v>1572719.2970968885</v>
      </c>
      <c r="T41" s="75">
        <v>65392.6478745141</v>
      </c>
      <c r="U41" s="75">
        <v>49264.474997617</v>
      </c>
      <c r="V41" s="75">
        <v>114657.122872131</v>
      </c>
      <c r="W41" s="75">
        <v>216193.005769926</v>
      </c>
      <c r="X41" s="75">
        <v>822361.499832265</v>
      </c>
      <c r="Y41" s="75">
        <v>1153210.62847432</v>
      </c>
    </row>
    <row r="42" spans="1:25" s="73" customFormat="1" ht="18.75">
      <c r="A42" s="138"/>
      <c r="B42" s="138"/>
      <c r="C42" s="138"/>
      <c r="D42" s="137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T42" s="75"/>
      <c r="U42" s="75"/>
      <c r="V42" s="75"/>
      <c r="W42" s="75"/>
      <c r="X42" s="75"/>
      <c r="Y42" s="75"/>
    </row>
    <row r="43" spans="1:25" s="73" customFormat="1" ht="18.75">
      <c r="A43" s="138"/>
      <c r="B43" s="138"/>
      <c r="C43" s="138" t="s">
        <v>43</v>
      </c>
      <c r="D43" s="141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T43" s="74"/>
      <c r="U43" s="74"/>
      <c r="V43" s="74"/>
      <c r="W43" s="74"/>
      <c r="X43" s="74"/>
      <c r="Y43" s="74"/>
    </row>
    <row r="44" spans="1:25" s="73" customFormat="1" ht="18.75">
      <c r="A44" s="138"/>
      <c r="B44" s="138">
        <v>40</v>
      </c>
      <c r="C44" s="138" t="s">
        <v>360</v>
      </c>
      <c r="D44" s="137" t="s">
        <v>507</v>
      </c>
      <c r="E44" s="136">
        <f>BICHOLIM!D9</f>
        <v>0</v>
      </c>
      <c r="F44" s="136">
        <f>BICHOLIM!E9</f>
        <v>335.28380077683505</v>
      </c>
      <c r="G44" s="136">
        <f>BICHOLIM!F9</f>
        <v>335.28380077683505</v>
      </c>
      <c r="H44" s="136">
        <f>BICHOLIM!G9</f>
        <v>40.58498151077641</v>
      </c>
      <c r="I44" s="136">
        <f>BICHOLIM!H9</f>
        <v>38.013561056951424</v>
      </c>
      <c r="J44" s="136">
        <f>BICHOLIM!I9</f>
        <v>413.88234334456286</v>
      </c>
      <c r="K44" s="136">
        <f>BICHOLIM!J9</f>
        <v>69208.98346105305</v>
      </c>
      <c r="L44" s="136">
        <f>BICHOLIM!K9</f>
        <v>24839.745762352897</v>
      </c>
      <c r="M44" s="136">
        <f>BICHOLIM!L9</f>
        <v>27664.33898250261</v>
      </c>
      <c r="N44" s="136">
        <f>BICHOLIM!M9</f>
        <v>43456.881355122896</v>
      </c>
      <c r="O44" s="136">
        <f>BICHOLIM!N9</f>
        <v>200</v>
      </c>
      <c r="P44" s="136">
        <f>BICHOLIM!O9</f>
        <v>1100</v>
      </c>
      <c r="Q44" s="136">
        <f>BICHOLIM!P9</f>
        <v>2509</v>
      </c>
      <c r="R44" s="136">
        <f>BICHOLIM!R9</f>
        <v>169392.831904376</v>
      </c>
      <c r="T44" s="75">
        <v>0</v>
      </c>
      <c r="U44" s="75">
        <v>376.679749006197</v>
      </c>
      <c r="V44" s="75">
        <v>376.679749006197</v>
      </c>
      <c r="W44" s="75">
        <v>16051.9002429309</v>
      </c>
      <c r="X44" s="75">
        <v>112719.852384618</v>
      </c>
      <c r="Y44" s="75">
        <v>129149.432376555</v>
      </c>
    </row>
    <row r="45" spans="1:25" s="73" customFormat="1" ht="18.75">
      <c r="A45" s="138"/>
      <c r="B45" s="138"/>
      <c r="C45" s="138" t="s">
        <v>361</v>
      </c>
      <c r="D45" s="137" t="s">
        <v>507</v>
      </c>
      <c r="E45" s="136">
        <f>BICHOLIM!D10</f>
        <v>37197.15315144427</v>
      </c>
      <c r="F45" s="136">
        <f>BICHOLIM!E10</f>
        <v>658.8063346280575</v>
      </c>
      <c r="G45" s="136">
        <f>BICHOLIM!F10</f>
        <v>37855.95948607232</v>
      </c>
      <c r="H45" s="136">
        <f>BICHOLIM!G10</f>
        <v>83.74630103844078</v>
      </c>
      <c r="I45" s="136">
        <f>BICHOLIM!H10</f>
        <v>74.69366181147248</v>
      </c>
      <c r="J45" s="136">
        <f>BICHOLIM!I10</f>
        <v>38014.39944892223</v>
      </c>
      <c r="K45" s="136">
        <f>BICHOLIM!J10</f>
        <v>0</v>
      </c>
      <c r="L45" s="136">
        <f>BICHOLIM!K10</f>
        <v>1714.6431976618228</v>
      </c>
      <c r="M45" s="136">
        <f>BICHOLIM!L10</f>
        <v>2618.727792792602</v>
      </c>
      <c r="N45" s="136">
        <f>BICHOLIM!M10</f>
        <v>3865.741027455746</v>
      </c>
      <c r="O45" s="136">
        <f>BICHOLIM!N10</f>
        <v>165</v>
      </c>
      <c r="P45" s="136">
        <f>BICHOLIM!O10</f>
        <v>999</v>
      </c>
      <c r="Q45" s="136">
        <f>BICHOLIM!P10</f>
        <v>2009</v>
      </c>
      <c r="R45" s="136">
        <f>BICHOLIM!R10</f>
        <v>49386.5114668324</v>
      </c>
      <c r="T45" s="75">
        <v>41437.5764851414</v>
      </c>
      <c r="U45" s="75">
        <v>627.799581676994</v>
      </c>
      <c r="V45" s="75">
        <v>42066.3760668184</v>
      </c>
      <c r="W45" s="75">
        <v>0</v>
      </c>
      <c r="X45" s="75">
        <v>13024.0996866031</v>
      </c>
      <c r="Y45" s="75">
        <v>55090.4757534215</v>
      </c>
    </row>
    <row r="46" spans="1:25" s="73" customFormat="1" ht="18.75">
      <c r="A46" s="138"/>
      <c r="B46" s="138">
        <v>41</v>
      </c>
      <c r="C46" s="138" t="s">
        <v>362</v>
      </c>
      <c r="D46" s="137" t="s">
        <v>508</v>
      </c>
      <c r="E46" s="136">
        <f>BICHOLIM!D11</f>
        <v>602.2397611490668</v>
      </c>
      <c r="F46" s="136">
        <f>BICHOLIM!E11</f>
        <v>5899.757650242016</v>
      </c>
      <c r="G46" s="136">
        <f>BICHOLIM!F11</f>
        <v>6501.997411391083</v>
      </c>
      <c r="H46" s="136">
        <f>BICHOLIM!G11</f>
        <v>714.1459104148794</v>
      </c>
      <c r="I46" s="136">
        <f>BICHOLIM!H11</f>
        <v>668.8983993234012</v>
      </c>
      <c r="J46" s="136">
        <f>BICHOLIM!I11</f>
        <v>7885.041721129364</v>
      </c>
      <c r="K46" s="136">
        <f>BICHOLIM!J11</f>
        <v>3057.1475100091006</v>
      </c>
      <c r="L46" s="136">
        <f>BICHOLIM!K11</f>
        <v>5084.763961672373</v>
      </c>
      <c r="M46" s="136">
        <f>BICHOLIM!L11</f>
        <v>7765.821323281442</v>
      </c>
      <c r="N46" s="136">
        <f>BICHOLIM!M11</f>
        <v>11463.831477224987</v>
      </c>
      <c r="O46" s="136">
        <f>BICHOLIM!N11</f>
        <v>165</v>
      </c>
      <c r="P46" s="136">
        <f>BICHOLIM!O11</f>
        <v>772</v>
      </c>
      <c r="Q46" s="136">
        <f>BICHOLIM!P11</f>
        <v>2009</v>
      </c>
      <c r="R46" s="136">
        <f>BICHOLIM!R11</f>
        <v>38202.605993317266</v>
      </c>
      <c r="T46" s="75">
        <v>669.113408658377</v>
      </c>
      <c r="U46" s="75">
        <v>6628.17358232505</v>
      </c>
      <c r="V46" s="75">
        <v>7297.28699098342</v>
      </c>
      <c r="W46" s="75">
        <v>709.055738207833</v>
      </c>
      <c r="X46" s="75">
        <v>38622.8883128426</v>
      </c>
      <c r="Y46" s="75">
        <v>46629.2310420339</v>
      </c>
    </row>
    <row r="47" spans="1:25" s="73" customFormat="1" ht="18.75">
      <c r="A47" s="138"/>
      <c r="B47" s="138">
        <v>42</v>
      </c>
      <c r="C47" s="138" t="s">
        <v>363</v>
      </c>
      <c r="D47" s="137" t="s">
        <v>508</v>
      </c>
      <c r="E47" s="136">
        <f>BICHOLIM!D12</f>
        <v>290.4418706250821</v>
      </c>
      <c r="F47" s="136">
        <f>BICHOLIM!E12</f>
        <v>1409.7605424476258</v>
      </c>
      <c r="G47" s="136">
        <f>BICHOLIM!F12</f>
        <v>1700.202413072708</v>
      </c>
      <c r="H47" s="136">
        <f>BICHOLIM!G12</f>
        <v>170.6467936037906</v>
      </c>
      <c r="I47" s="136">
        <f>BICHOLIM!H12</f>
        <v>159.83479766051477</v>
      </c>
      <c r="J47" s="136">
        <f>BICHOLIM!I12</f>
        <v>2030.6840043370134</v>
      </c>
      <c r="K47" s="136">
        <f>BICHOLIM!J12</f>
        <v>15783.38871244214</v>
      </c>
      <c r="L47" s="136">
        <f>BICHOLIM!K12</f>
        <v>7841.107239821236</v>
      </c>
      <c r="M47" s="136">
        <f>BICHOLIM!L12</f>
        <v>11975.509238999708</v>
      </c>
      <c r="N47" s="136">
        <f>BICHOLIM!M12</f>
        <v>22678.132686142424</v>
      </c>
      <c r="O47" s="136">
        <f>BICHOLIM!N12</f>
        <v>165</v>
      </c>
      <c r="P47" s="136">
        <f>BICHOLIM!O12</f>
        <v>772</v>
      </c>
      <c r="Q47" s="136">
        <f>BICHOLIM!P12</f>
        <v>2009</v>
      </c>
      <c r="R47" s="136">
        <f>BICHOLIM!R12</f>
        <v>63254.82188174252</v>
      </c>
      <c r="T47" s="75">
        <v>322.692991409714</v>
      </c>
      <c r="U47" s="75">
        <v>1583.81719026582</v>
      </c>
      <c r="V47" s="75">
        <v>1906.51018167553</v>
      </c>
      <c r="W47" s="75">
        <v>3660.70079977545</v>
      </c>
      <c r="X47" s="75">
        <v>59559.5412993431</v>
      </c>
      <c r="Y47" s="75">
        <v>65127.7522807941</v>
      </c>
    </row>
    <row r="48" spans="1:25" s="73" customFormat="1" ht="18.75">
      <c r="A48" s="138"/>
      <c r="B48" s="138">
        <v>43</v>
      </c>
      <c r="C48" s="138" t="s">
        <v>510</v>
      </c>
      <c r="D48" s="137" t="s">
        <v>507</v>
      </c>
      <c r="E48" s="136">
        <f>BICHOLIM!D13</f>
        <v>6270.903527024364</v>
      </c>
      <c r="F48" s="136">
        <f>BICHOLIM!E13</f>
        <v>0</v>
      </c>
      <c r="G48" s="136">
        <f>BICHOLIM!F13</f>
        <v>6270.903527024364</v>
      </c>
      <c r="H48" s="136">
        <f>BICHOLIM!G13</f>
        <v>0</v>
      </c>
      <c r="I48" s="136">
        <f>BICHOLIM!H13</f>
        <v>0</v>
      </c>
      <c r="J48" s="136">
        <f>BICHOLIM!I13</f>
        <v>6270.903527024364</v>
      </c>
      <c r="K48" s="136">
        <f>BICHOLIM!J13</f>
        <v>0</v>
      </c>
      <c r="L48" s="136">
        <f>BICHOLIM!K13</f>
        <v>5993.903825836341</v>
      </c>
      <c r="M48" s="136">
        <f>BICHOLIM!L13</f>
        <v>9154.325843095503</v>
      </c>
      <c r="N48" s="136">
        <f>BICHOLIM!M13</f>
        <v>13513.528625521933</v>
      </c>
      <c r="O48" s="136">
        <f>BICHOLIM!N13</f>
        <v>165</v>
      </c>
      <c r="P48" s="136">
        <f>BICHOLIM!O13</f>
        <v>728</v>
      </c>
      <c r="Q48" s="136">
        <f>BICHOLIM!P13</f>
        <v>2009</v>
      </c>
      <c r="R48" s="136">
        <f>BICHOLIM!R13</f>
        <v>37834.66182147814</v>
      </c>
      <c r="T48" s="75">
        <v>6967.23448868486</v>
      </c>
      <c r="U48" s="75">
        <v>0</v>
      </c>
      <c r="V48" s="75">
        <v>6967.23448868486</v>
      </c>
      <c r="W48" s="75">
        <v>0</v>
      </c>
      <c r="X48" s="75">
        <v>45528.5397253831</v>
      </c>
      <c r="Y48" s="75">
        <v>52495.7742140679</v>
      </c>
    </row>
    <row r="49" spans="1:25" s="73" customFormat="1" ht="18.75">
      <c r="A49" s="138">
        <v>4</v>
      </c>
      <c r="B49" s="138"/>
      <c r="C49" s="138" t="s">
        <v>78</v>
      </c>
      <c r="D49" s="137"/>
      <c r="E49" s="136">
        <f aca="true" t="shared" si="0" ref="E49:R49">SUM(E44:E48)</f>
        <v>44360.738310242785</v>
      </c>
      <c r="F49" s="136">
        <f t="shared" si="0"/>
        <v>8303.608328094535</v>
      </c>
      <c r="G49" s="136">
        <f t="shared" si="0"/>
        <v>52664.34663833731</v>
      </c>
      <c r="H49" s="136">
        <f t="shared" si="0"/>
        <v>1009.1239865678872</v>
      </c>
      <c r="I49" s="136">
        <f t="shared" si="0"/>
        <v>941.4404198523398</v>
      </c>
      <c r="J49" s="136">
        <f t="shared" si="0"/>
        <v>54614.91104475753</v>
      </c>
      <c r="K49" s="136">
        <f t="shared" si="0"/>
        <v>88049.51968350429</v>
      </c>
      <c r="L49" s="136">
        <f t="shared" si="0"/>
        <v>45474.16398734467</v>
      </c>
      <c r="M49" s="136">
        <f t="shared" si="0"/>
        <v>59178.72318067186</v>
      </c>
      <c r="N49" s="136">
        <f t="shared" si="0"/>
        <v>94978.11517146799</v>
      </c>
      <c r="O49" s="136">
        <f t="shared" si="0"/>
        <v>860</v>
      </c>
      <c r="P49" s="136">
        <f t="shared" si="0"/>
        <v>4371</v>
      </c>
      <c r="Q49" s="136">
        <f t="shared" si="0"/>
        <v>10545</v>
      </c>
      <c r="R49" s="136">
        <f t="shared" si="0"/>
        <v>358071.43306774634</v>
      </c>
      <c r="T49" s="75">
        <v>49396.6173738944</v>
      </c>
      <c r="U49" s="75">
        <v>9217.47010327406</v>
      </c>
      <c r="V49" s="75">
        <v>58614.0874771684</v>
      </c>
      <c r="W49" s="75">
        <v>20421.6567809142</v>
      </c>
      <c r="X49" s="75">
        <v>269455.92140879</v>
      </c>
      <c r="Y49" s="75">
        <v>348491.665666872</v>
      </c>
    </row>
    <row r="50" spans="1:25" s="73" customFormat="1" ht="18.75">
      <c r="A50" s="138"/>
      <c r="B50" s="138"/>
      <c r="C50" s="138"/>
      <c r="D50" s="141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T50" s="74"/>
      <c r="U50" s="74"/>
      <c r="V50" s="74"/>
      <c r="W50" s="74"/>
      <c r="X50" s="74"/>
      <c r="Y50" s="74"/>
    </row>
    <row r="51" spans="1:25" s="73" customFormat="1" ht="18.75">
      <c r="A51" s="138"/>
      <c r="B51" s="138"/>
      <c r="C51" s="138" t="s">
        <v>45</v>
      </c>
      <c r="D51" s="141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T51" s="74"/>
      <c r="U51" s="74"/>
      <c r="V51" s="74"/>
      <c r="W51" s="74"/>
      <c r="X51" s="74"/>
      <c r="Y51" s="74"/>
    </row>
    <row r="52" spans="1:25" s="73" customFormat="1" ht="18.75">
      <c r="A52" s="138"/>
      <c r="B52" s="138"/>
      <c r="C52" s="138"/>
      <c r="D52" s="137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T52" s="75">
        <v>70639.7810886157</v>
      </c>
      <c r="U52" s="75">
        <v>27469.2816817221</v>
      </c>
      <c r="V52" s="75">
        <v>98109.0627703378</v>
      </c>
      <c r="W52" s="75">
        <v>1026.62444294928</v>
      </c>
      <c r="X52" s="75">
        <v>96257.798849294</v>
      </c>
      <c r="Y52" s="75">
        <v>195394.486062581</v>
      </c>
    </row>
    <row r="53" spans="1:25" s="73" customFormat="1" ht="18.75">
      <c r="A53" s="138"/>
      <c r="B53" s="138">
        <v>44</v>
      </c>
      <c r="C53" s="138" t="s">
        <v>429</v>
      </c>
      <c r="D53" s="137" t="s">
        <v>508</v>
      </c>
      <c r="E53" s="136">
        <f>'TRAIL SATTARI'!D10</f>
        <v>57798.02124725325</v>
      </c>
      <c r="F53" s="136">
        <f>'TRAIL SATTARI'!E10</f>
        <v>10143</v>
      </c>
      <c r="G53" s="136">
        <f>'TRAIL SATTARI'!F10</f>
        <v>67941.02124725326</v>
      </c>
      <c r="H53" s="136">
        <f>'TRAIL SATTARI'!G10</f>
        <v>1227.7761899323068</v>
      </c>
      <c r="I53" s="136">
        <f>'TRAIL SATTARI'!H10</f>
        <v>1149.985620860027</v>
      </c>
      <c r="J53" s="136">
        <f>'TRAIL SATTARI'!I10</f>
        <v>70318.78305804559</v>
      </c>
      <c r="K53" s="136">
        <f>'TRAIL SATTARI'!J10</f>
        <v>8858.202711232268</v>
      </c>
      <c r="L53" s="136">
        <f>'TRAIL SATTARI'!K10</f>
        <v>11745.461786856053</v>
      </c>
      <c r="M53" s="136">
        <f>'TRAIL SATTARI'!L10</f>
        <v>16883.978001743788</v>
      </c>
      <c r="N53" s="136">
        <f>'TRAIL SATTARI'!M10</f>
        <v>21971.586574002737</v>
      </c>
      <c r="O53" s="136">
        <f>'TRAIL SATTARI'!N10</f>
        <v>418.53333333333336</v>
      </c>
      <c r="P53" s="136">
        <f>'TRAIL SATTARI'!O10</f>
        <v>2586.6666666666665</v>
      </c>
      <c r="Q53" s="136">
        <f>'TRAIL SATTARI'!P10</f>
        <v>5345</v>
      </c>
      <c r="R53" s="136">
        <f>'TRAIL SATTARI'!Q10</f>
        <v>138128.21213188043</v>
      </c>
      <c r="T53" s="75">
        <v>53105.5884833198</v>
      </c>
      <c r="U53" s="75">
        <v>9148.29901842823</v>
      </c>
      <c r="V53" s="75">
        <v>62253.887501748</v>
      </c>
      <c r="W53" s="75">
        <v>2054.51632348245</v>
      </c>
      <c r="X53" s="75">
        <v>74025.6375914289</v>
      </c>
      <c r="Y53" s="75">
        <v>138335.041416659</v>
      </c>
    </row>
    <row r="54" spans="1:25" s="73" customFormat="1" ht="18.75">
      <c r="A54" s="138"/>
      <c r="B54" s="138">
        <v>45</v>
      </c>
      <c r="C54" s="138" t="s">
        <v>430</v>
      </c>
      <c r="D54" s="137" t="s">
        <v>508</v>
      </c>
      <c r="E54" s="136">
        <f>'TRAIL SATTARI'!D11</f>
        <v>84178.73222534267</v>
      </c>
      <c r="F54" s="136">
        <f>'TRAIL SATTARI'!E11</f>
        <v>12380.772253311587</v>
      </c>
      <c r="G54" s="136">
        <f>'TRAIL SATTARI'!F11</f>
        <v>96559.50447865426</v>
      </c>
      <c r="H54" s="136">
        <f>'TRAIL SATTARI'!G11</f>
        <v>1498.6510288465465</v>
      </c>
      <c r="I54" s="136">
        <f>'TRAIL SATTARI'!H11</f>
        <v>1403.6981234793573</v>
      </c>
      <c r="J54" s="136">
        <f>'TRAIL SATTARI'!I11</f>
        <v>99461.85363098017</v>
      </c>
      <c r="K54" s="136">
        <f>'TRAIL SATTARI'!J11</f>
        <v>130460.81645170554</v>
      </c>
      <c r="L54" s="136">
        <f>'TRAIL SATTARI'!K11</f>
        <v>12264.702108543599</v>
      </c>
      <c r="M54" s="136">
        <f>'TRAIL SATTARI'!L11</f>
        <v>20731.54503850295</v>
      </c>
      <c r="N54" s="136">
        <f>'TRAIL SATTARI'!M11</f>
        <v>27651.328390171024</v>
      </c>
      <c r="O54" s="136">
        <f>'TRAIL SATTARI'!N11</f>
        <v>418.53333333333336</v>
      </c>
      <c r="P54" s="136">
        <f>'TRAIL SATTARI'!O11</f>
        <v>2586.6666666666665</v>
      </c>
      <c r="Q54" s="136">
        <f>'TRAIL SATTARI'!P11</f>
        <v>5345</v>
      </c>
      <c r="R54" s="136">
        <f>'TRAIL SATTARI'!Q11</f>
        <v>298920.44561990333</v>
      </c>
      <c r="T54" s="75">
        <v>82415.6549786001</v>
      </c>
      <c r="U54" s="75">
        <v>13909.3692390596</v>
      </c>
      <c r="V54" s="75">
        <v>96325.0242176597</v>
      </c>
      <c r="W54" s="75">
        <v>30258.2686028406</v>
      </c>
      <c r="X54" s="75">
        <v>93161.5569698701</v>
      </c>
      <c r="Y54" s="75">
        <v>219744.84979037</v>
      </c>
    </row>
    <row r="55" spans="1:25" s="73" customFormat="1" ht="18.75">
      <c r="A55" s="138"/>
      <c r="B55" s="138">
        <v>46</v>
      </c>
      <c r="C55" s="138" t="s">
        <v>431</v>
      </c>
      <c r="D55" s="137" t="s">
        <v>508</v>
      </c>
      <c r="E55" s="136">
        <f>'TRAIL SATTARI'!D12</f>
        <v>73824.70863892754</v>
      </c>
      <c r="F55" s="136">
        <f>'TRAIL SATTARI'!E12</f>
        <v>12210.776082535458</v>
      </c>
      <c r="G55" s="136">
        <f>'TRAIL SATTARI'!F12</f>
        <v>86035.484721463</v>
      </c>
      <c r="H55" s="136">
        <f>'TRAIL SATTARI'!G12</f>
        <v>1478.0735615431256</v>
      </c>
      <c r="I55" s="136">
        <f>'TRAIL SATTARI'!H12</f>
        <v>1384.424422208154</v>
      </c>
      <c r="J55" s="136">
        <f>'TRAIL SATTARI'!I12</f>
        <v>88897.98270521426</v>
      </c>
      <c r="K55" s="136">
        <f>'TRAIL SATTARI'!J12</f>
        <v>9847.273404987673</v>
      </c>
      <c r="L55" s="136">
        <f>'TRAIL SATTARI'!K12</f>
        <v>10208.310980833436</v>
      </c>
      <c r="M55" s="136">
        <f>'TRAIL SATTARI'!L12</f>
        <v>16827.238588909247</v>
      </c>
      <c r="N55" s="136">
        <f>'TRAIL SATTARI'!M12</f>
        <v>21887.828393151747</v>
      </c>
      <c r="O55" s="136">
        <f>'TRAIL SATTARI'!N12</f>
        <v>418.53333333333336</v>
      </c>
      <c r="P55" s="136">
        <f>'TRAIL SATTARI'!O12</f>
        <v>2586.6666666666665</v>
      </c>
      <c r="Q55" s="136">
        <f>'TRAIL SATTARI'!P12</f>
        <v>5345</v>
      </c>
      <c r="R55" s="136">
        <f>'TRAIL SATTARI'!Q12</f>
        <v>156018.83407309637</v>
      </c>
      <c r="T55" s="75">
        <v>76467.1122169792</v>
      </c>
      <c r="U55" s="75">
        <v>13718.3844232361</v>
      </c>
      <c r="V55" s="75">
        <v>90185.4966402154</v>
      </c>
      <c r="W55" s="75">
        <v>2051.98144831467</v>
      </c>
      <c r="X55" s="75">
        <v>73743.4434622016</v>
      </c>
      <c r="Y55" s="75">
        <v>165979.921550732</v>
      </c>
    </row>
    <row r="56" spans="1:25" s="73" customFormat="1" ht="18.75">
      <c r="A56" s="138"/>
      <c r="B56" s="138">
        <v>47</v>
      </c>
      <c r="C56" s="138" t="s">
        <v>432</v>
      </c>
      <c r="D56" s="137" t="s">
        <v>508</v>
      </c>
      <c r="E56" s="136">
        <f>'TRAIL SATTARI'!D13</f>
        <v>49210.28665269579</v>
      </c>
      <c r="F56" s="136">
        <f>'TRAIL SATTARI'!E13</f>
        <v>9938</v>
      </c>
      <c r="G56" s="136">
        <f>'TRAIL SATTARI'!F13</f>
        <v>59148.28665269579</v>
      </c>
      <c r="H56" s="136">
        <f>'TRAIL SATTARI'!G13</f>
        <v>1202.9616262986558</v>
      </c>
      <c r="I56" s="136">
        <f>'TRAIL SATTARI'!H13</f>
        <v>1126.7432810910923</v>
      </c>
      <c r="J56" s="136">
        <f>'TRAIL SATTARI'!I13</f>
        <v>61477.99156008553</v>
      </c>
      <c r="K56" s="136">
        <f>'TRAIL SATTARI'!J13</f>
        <v>9847.273404987673</v>
      </c>
      <c r="L56" s="136">
        <f>'TRAIL SATTARI'!K13</f>
        <v>3405.2969493071905</v>
      </c>
      <c r="M56" s="136">
        <f>'TRAIL SATTARI'!L13</f>
        <v>6437.180795305527</v>
      </c>
      <c r="N56" s="136">
        <f>'TRAIL SATTARI'!M13</f>
        <v>11550.124031165302</v>
      </c>
      <c r="O56" s="136">
        <f>'TRAIL SATTARI'!N13</f>
        <v>418.53333333333336</v>
      </c>
      <c r="P56" s="136">
        <f>'TRAIL SATTARI'!O13</f>
        <v>2586.6666666666665</v>
      </c>
      <c r="Q56" s="136">
        <f>'TRAIL SATTARI'!P13</f>
        <v>5345</v>
      </c>
      <c r="R56" s="136">
        <f>'TRAIL SATTARI'!Q13</f>
        <v>101068.06674085124</v>
      </c>
      <c r="T56" s="75">
        <v>49119.4662131037</v>
      </c>
      <c r="U56" s="75">
        <v>7794.95225115298</v>
      </c>
      <c r="V56" s="75">
        <v>56914.4184642567</v>
      </c>
      <c r="W56" s="75">
        <v>2051.98144831467</v>
      </c>
      <c r="X56" s="75">
        <v>22068.3702597822</v>
      </c>
      <c r="Y56" s="75">
        <v>81033.7701723535</v>
      </c>
    </row>
    <row r="57" spans="1:25" s="73" customFormat="1" ht="18.75">
      <c r="A57" s="138"/>
      <c r="B57" s="138">
        <v>48</v>
      </c>
      <c r="C57" s="138" t="s">
        <v>433</v>
      </c>
      <c r="D57" s="137" t="s">
        <v>508</v>
      </c>
      <c r="E57" s="136">
        <f>'TRAIL SATTARI'!D14</f>
        <v>99538.27943590688</v>
      </c>
      <c r="F57" s="136">
        <f>'TRAIL SATTARI'!E14</f>
        <v>17240</v>
      </c>
      <c r="G57" s="136">
        <f>'TRAIL SATTARI'!F14</f>
        <v>116778.27943590688</v>
      </c>
      <c r="H57" s="136">
        <f>'TRAIL SATTARI'!G14</f>
        <v>2086.84427826412</v>
      </c>
      <c r="I57" s="136">
        <f>'TRAIL SATTARI'!H14</f>
        <v>1954.6240859338327</v>
      </c>
      <c r="J57" s="136">
        <f>'TRAIL SATTARI'!I14</f>
        <v>120819.74780010483</v>
      </c>
      <c r="K57" s="136">
        <f>'TRAIL SATTARI'!J14</f>
        <v>86016.79260812014</v>
      </c>
      <c r="L57" s="136">
        <f>'TRAIL SATTARI'!K14</f>
        <v>17533.82304539457</v>
      </c>
      <c r="M57" s="136">
        <f>'TRAIL SATTARI'!L14</f>
        <v>27473.47519660261</v>
      </c>
      <c r="N57" s="136">
        <f>'TRAIL SATTARI'!M14</f>
        <v>39079.891956889565</v>
      </c>
      <c r="O57" s="136">
        <f>'TRAIL SATTARI'!N14</f>
        <v>418.53333333333336</v>
      </c>
      <c r="P57" s="136">
        <f>'TRAIL SATTARI'!O14</f>
        <v>2586.6666666666665</v>
      </c>
      <c r="Q57" s="136">
        <f>'TRAIL SATTARI'!P14</f>
        <v>5345</v>
      </c>
      <c r="R57" s="136">
        <f>'TRAIL SATTARI'!Q14</f>
        <v>299273.9306071117</v>
      </c>
      <c r="T57" s="75">
        <v>110591.166080222</v>
      </c>
      <c r="U57" s="75">
        <v>13750.897258486</v>
      </c>
      <c r="V57" s="75">
        <v>124342.063338708</v>
      </c>
      <c r="W57" s="75">
        <v>19950.1987330795</v>
      </c>
      <c r="X57" s="75">
        <v>131666.136597339</v>
      </c>
      <c r="Y57" s="75">
        <v>275958.398669126</v>
      </c>
    </row>
    <row r="58" spans="1:25" s="83" customFormat="1" ht="18.75">
      <c r="A58" s="138">
        <v>5</v>
      </c>
      <c r="B58" s="138"/>
      <c r="C58" s="138" t="s">
        <v>78</v>
      </c>
      <c r="D58" s="137"/>
      <c r="E58" s="136">
        <f aca="true" t="shared" si="1" ref="E58:R58">SUM(E53:E57)</f>
        <v>364550.0282001261</v>
      </c>
      <c r="F58" s="136">
        <f t="shared" si="1"/>
        <v>61912.548335847045</v>
      </c>
      <c r="G58" s="136">
        <f t="shared" si="1"/>
        <v>426462.57653597323</v>
      </c>
      <c r="H58" s="136">
        <f t="shared" si="1"/>
        <v>7494.306684884754</v>
      </c>
      <c r="I58" s="136">
        <f t="shared" si="1"/>
        <v>7019.475533572463</v>
      </c>
      <c r="J58" s="136">
        <f t="shared" si="1"/>
        <v>440976.3587544304</v>
      </c>
      <c r="K58" s="136">
        <f t="shared" si="1"/>
        <v>245030.35858103327</v>
      </c>
      <c r="L58" s="136">
        <f t="shared" si="1"/>
        <v>55157.594870934845</v>
      </c>
      <c r="M58" s="136">
        <f t="shared" si="1"/>
        <v>88353.41762106412</v>
      </c>
      <c r="N58" s="136">
        <f t="shared" si="1"/>
        <v>122140.75934538037</v>
      </c>
      <c r="O58" s="136">
        <f t="shared" si="1"/>
        <v>2092.666666666667</v>
      </c>
      <c r="P58" s="136">
        <f t="shared" si="1"/>
        <v>12933.333333333332</v>
      </c>
      <c r="Q58" s="136">
        <f t="shared" si="1"/>
        <v>26725</v>
      </c>
      <c r="R58" s="136">
        <f t="shared" si="1"/>
        <v>993409.489172843</v>
      </c>
      <c r="T58" s="84">
        <v>442338.769060841</v>
      </c>
      <c r="U58" s="84">
        <v>85790.183872085</v>
      </c>
      <c r="V58" s="84">
        <v>528128.952932926</v>
      </c>
      <c r="W58" s="84">
        <v>57393.5709989811</v>
      </c>
      <c r="X58" s="84">
        <v>490922.943729915</v>
      </c>
      <c r="Y58" s="84">
        <v>1076446.46766182</v>
      </c>
    </row>
    <row r="59" spans="1:25" s="73" customFormat="1" ht="18.75">
      <c r="A59" s="138"/>
      <c r="B59" s="138"/>
      <c r="C59" s="138"/>
      <c r="D59" s="137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T59" s="75"/>
      <c r="U59" s="75"/>
      <c r="V59" s="75"/>
      <c r="W59" s="75"/>
      <c r="X59" s="75"/>
      <c r="Y59" s="75"/>
    </row>
    <row r="60" spans="1:25" s="77" customFormat="1" ht="18.75">
      <c r="A60" s="138"/>
      <c r="B60" s="138"/>
      <c r="C60" s="138" t="s">
        <v>44</v>
      </c>
      <c r="D60" s="141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T60" s="78"/>
      <c r="U60" s="78"/>
      <c r="V60" s="78"/>
      <c r="W60" s="78"/>
      <c r="X60" s="78"/>
      <c r="Y60" s="78"/>
    </row>
    <row r="61" spans="1:25" s="73" customFormat="1" ht="18.75">
      <c r="A61" s="138"/>
      <c r="B61" s="138">
        <v>49</v>
      </c>
      <c r="C61" s="138" t="s">
        <v>398</v>
      </c>
      <c r="D61" s="137" t="s">
        <v>508</v>
      </c>
      <c r="E61" s="136">
        <f>PERNEM!D9</f>
        <v>22536.89684661263</v>
      </c>
      <c r="F61" s="136">
        <f>PERNEM!E9</f>
        <v>6261.265986050486</v>
      </c>
      <c r="G61" s="136">
        <f>PERNEM!F9</f>
        <v>28798.162832663118</v>
      </c>
      <c r="H61" s="136">
        <f>PERNEM!G9</f>
        <v>757.9052840881212</v>
      </c>
      <c r="I61" s="136">
        <f>PERNEM!H9</f>
        <v>709.8852264949263</v>
      </c>
      <c r="J61" s="136">
        <f>PERNEM!I9</f>
        <v>30265.953343246165</v>
      </c>
      <c r="K61" s="136">
        <f>PERNEM!J9</f>
        <v>28719.68095507692</v>
      </c>
      <c r="L61" s="136">
        <f>PERNEM!K9</f>
        <v>8385.613431424606</v>
      </c>
      <c r="M61" s="136">
        <f>PERNEM!L9</f>
        <v>15861.664149812124</v>
      </c>
      <c r="N61" s="136">
        <f>PERNEM!M9</f>
        <v>23414.837554484562</v>
      </c>
      <c r="O61" s="136">
        <f>PERNEM!N9</f>
        <v>232</v>
      </c>
      <c r="P61" s="136">
        <f>PERNEM!O9</f>
        <v>1437</v>
      </c>
      <c r="Q61" s="136">
        <f>PERNEM!P9</f>
        <v>2969</v>
      </c>
      <c r="R61" s="136">
        <f>PERNEM!R9</f>
        <v>111285.74943404438</v>
      </c>
      <c r="T61" s="75">
        <v>25150.5333716017</v>
      </c>
      <c r="U61" s="75">
        <v>7034.31568904323</v>
      </c>
      <c r="V61" s="75">
        <v>32184.8490606449</v>
      </c>
      <c r="W61" s="75">
        <v>6661.06379035498</v>
      </c>
      <c r="X61" s="75">
        <v>78888.1710127083</v>
      </c>
      <c r="Y61" s="75">
        <v>117734.083863708</v>
      </c>
    </row>
    <row r="62" spans="1:25" s="73" customFormat="1" ht="18.75">
      <c r="A62" s="138"/>
      <c r="B62" s="138">
        <v>50</v>
      </c>
      <c r="C62" s="138" t="s">
        <v>399</v>
      </c>
      <c r="D62" s="137" t="s">
        <v>508</v>
      </c>
      <c r="E62" s="136">
        <f>PERNEM!D10</f>
        <v>19138.855616919103</v>
      </c>
      <c r="F62" s="136">
        <f>PERNEM!E10</f>
        <v>5374.344432335106</v>
      </c>
      <c r="G62" s="136">
        <f>PERNEM!F10</f>
        <v>24513.20004925421</v>
      </c>
      <c r="H62" s="136">
        <f>PERNEM!G10</f>
        <v>650.5463995382336</v>
      </c>
      <c r="I62" s="136">
        <f>PERNEM!H10</f>
        <v>609.3284845444657</v>
      </c>
      <c r="J62" s="136">
        <f>PERNEM!I10</f>
        <v>25773.07493333691</v>
      </c>
      <c r="K62" s="136">
        <f>PERNEM!J10</f>
        <v>1358.7322266707124</v>
      </c>
      <c r="L62" s="136">
        <f>PERNEM!K10</f>
        <v>2930.3122781163097</v>
      </c>
      <c r="M62" s="136">
        <f>PERNEM!L10</f>
        <v>5239.022388395819</v>
      </c>
      <c r="N62" s="136">
        <f>PERNEM!M10</f>
        <v>7733.794954298591</v>
      </c>
      <c r="O62" s="136">
        <f>PERNEM!N10</f>
        <v>232</v>
      </c>
      <c r="P62" s="136">
        <f>PERNEM!O10</f>
        <v>1437</v>
      </c>
      <c r="Q62" s="136">
        <f>PERNEM!P10</f>
        <v>2969</v>
      </c>
      <c r="R62" s="136">
        <f>PERNEM!R10</f>
        <v>47672.936780818345</v>
      </c>
      <c r="T62" s="75">
        <v>21264.064158141</v>
      </c>
      <c r="U62" s="75">
        <v>6037.89001184786</v>
      </c>
      <c r="V62" s="75">
        <v>27301.9541699889</v>
      </c>
      <c r="W62" s="75">
        <v>315.135883647926</v>
      </c>
      <c r="X62" s="75">
        <v>26056.3387429983</v>
      </c>
      <c r="Y62" s="75">
        <v>53673.4287966352</v>
      </c>
    </row>
    <row r="63" spans="1:25" s="73" customFormat="1" ht="18.75">
      <c r="A63" s="138"/>
      <c r="B63" s="138">
        <v>51</v>
      </c>
      <c r="C63" s="138" t="s">
        <v>400</v>
      </c>
      <c r="D63" s="137" t="s">
        <v>508</v>
      </c>
      <c r="E63" s="136">
        <f>PERNEM!D11</f>
        <v>0</v>
      </c>
      <c r="F63" s="136">
        <f>PERNEM!E11</f>
        <v>882.3257915179852</v>
      </c>
      <c r="G63" s="136">
        <f>PERNEM!F11</f>
        <v>882.3257915179852</v>
      </c>
      <c r="H63" s="136">
        <f>PERNEM!G11</f>
        <v>106.8025829230956</v>
      </c>
      <c r="I63" s="136">
        <f>PERNEM!H11</f>
        <v>100.03568699197722</v>
      </c>
      <c r="J63" s="136">
        <f>PERNEM!I11</f>
        <v>1089.164061433058</v>
      </c>
      <c r="K63" s="136">
        <f>PERNEM!J11</f>
        <v>575.7339943519958</v>
      </c>
      <c r="L63" s="136">
        <f>PERNEM!K11</f>
        <v>2791.287783241878</v>
      </c>
      <c r="M63" s="136">
        <f>PERNEM!L11</f>
        <v>5026.694068951232</v>
      </c>
      <c r="N63" s="136">
        <f>PERNEM!M11</f>
        <v>7420.357911308961</v>
      </c>
      <c r="O63" s="136">
        <f>PERNEM!N11</f>
        <v>232</v>
      </c>
      <c r="P63" s="136">
        <f>PERNEM!O11</f>
        <v>1437</v>
      </c>
      <c r="Q63" s="136">
        <f>PERNEM!P11</f>
        <v>2969</v>
      </c>
      <c r="R63" s="136">
        <f>PERNEM!R11</f>
        <v>21541.237819287126</v>
      </c>
      <c r="T63" s="75">
        <v>0</v>
      </c>
      <c r="U63" s="75">
        <v>991.262497384727</v>
      </c>
      <c r="V63" s="75">
        <v>991.262497384727</v>
      </c>
      <c r="W63" s="75">
        <v>133.532154088104</v>
      </c>
      <c r="X63" s="75">
        <v>25000.3213783018</v>
      </c>
      <c r="Y63" s="75">
        <v>26125.1160297746</v>
      </c>
    </row>
    <row r="64" spans="1:25" s="73" customFormat="1" ht="18.75">
      <c r="A64" s="138"/>
      <c r="B64" s="138">
        <v>52</v>
      </c>
      <c r="C64" s="138" t="s">
        <v>401</v>
      </c>
      <c r="D64" s="137" t="s">
        <v>508</v>
      </c>
      <c r="E64" s="136">
        <f>PERNEM!D12</f>
        <v>0</v>
      </c>
      <c r="F64" s="136">
        <f>PERNEM!E12</f>
        <v>0</v>
      </c>
      <c r="G64" s="136">
        <f>PERNEM!F12</f>
        <v>0</v>
      </c>
      <c r="H64" s="136">
        <f>PERNEM!G12</f>
        <v>0</v>
      </c>
      <c r="I64" s="136">
        <f>PERNEM!H12</f>
        <v>0</v>
      </c>
      <c r="J64" s="136">
        <f>PERNEM!I12</f>
        <v>0</v>
      </c>
      <c r="K64" s="136">
        <f>PERNEM!J12</f>
        <v>0</v>
      </c>
      <c r="L64" s="136">
        <f>PERNEM!K12</f>
        <v>421.01612101446096</v>
      </c>
      <c r="M64" s="136">
        <f>PERNEM!L12</f>
        <v>643.0064393675403</v>
      </c>
      <c r="N64" s="136">
        <f>PERNEM!M12</f>
        <v>949.1999819235119</v>
      </c>
      <c r="O64" s="136">
        <f>PERNEM!N12</f>
        <v>232</v>
      </c>
      <c r="P64" s="136">
        <f>PERNEM!O12</f>
        <v>1437</v>
      </c>
      <c r="Q64" s="136">
        <f>PERNEM!P12</f>
        <v>2969</v>
      </c>
      <c r="R64" s="136">
        <f>PERNEM!R12</f>
        <v>6651.222542305512</v>
      </c>
      <c r="T64" s="75">
        <v>0</v>
      </c>
      <c r="U64" s="75">
        <v>0</v>
      </c>
      <c r="V64" s="75">
        <v>0</v>
      </c>
      <c r="W64" s="75">
        <v>0</v>
      </c>
      <c r="X64" s="75">
        <v>3198</v>
      </c>
      <c r="Y64" s="75">
        <v>3198</v>
      </c>
    </row>
    <row r="65" spans="1:25" s="73" customFormat="1" ht="18.75">
      <c r="A65" s="138"/>
      <c r="B65" s="138">
        <v>53</v>
      </c>
      <c r="C65" s="138" t="s">
        <v>402</v>
      </c>
      <c r="D65" s="137" t="s">
        <v>508</v>
      </c>
      <c r="E65" s="136">
        <f>PERNEM!D13</f>
        <v>37313.98610530902</v>
      </c>
      <c r="F65" s="136">
        <f>PERNEM!E13</f>
        <v>0</v>
      </c>
      <c r="G65" s="136">
        <f>PERNEM!F13</f>
        <v>37313.98610530902</v>
      </c>
      <c r="H65" s="136">
        <f>PERNEM!G13</f>
        <v>0</v>
      </c>
      <c r="I65" s="136">
        <f>PERNEM!H13</f>
        <v>0</v>
      </c>
      <c r="J65" s="136">
        <f>PERNEM!I13</f>
        <v>37313.98610530902</v>
      </c>
      <c r="K65" s="136">
        <f>PERNEM!J13</f>
        <v>0</v>
      </c>
      <c r="L65" s="136">
        <f>PERNEM!K13</f>
        <v>658.249094769326</v>
      </c>
      <c r="M65" s="136">
        <f>PERNEM!L13</f>
        <v>1005.3258901931524</v>
      </c>
      <c r="N65" s="136">
        <f>PERNEM!M13</f>
        <v>1484.0525045708441</v>
      </c>
      <c r="O65" s="136">
        <f>PERNEM!N13</f>
        <v>232</v>
      </c>
      <c r="P65" s="136">
        <f>PERNEM!O13</f>
        <v>1437</v>
      </c>
      <c r="Q65" s="136">
        <f>PERNEM!P13</f>
        <v>2981</v>
      </c>
      <c r="R65" s="136">
        <f>PERNEM!R13</f>
        <v>45111.61359484235</v>
      </c>
      <c r="T65" s="75">
        <v>41457.3896381689</v>
      </c>
      <c r="U65" s="75">
        <v>0</v>
      </c>
      <c r="V65" s="75">
        <v>41457.3896381689</v>
      </c>
      <c r="W65" s="75">
        <v>0</v>
      </c>
      <c r="X65" s="75">
        <v>5000</v>
      </c>
      <c r="Y65" s="75">
        <v>46457.3896381689</v>
      </c>
    </row>
    <row r="66" spans="1:25" s="77" customFormat="1" ht="18.75">
      <c r="A66" s="138">
        <v>5</v>
      </c>
      <c r="B66" s="138"/>
      <c r="C66" s="138" t="s">
        <v>78</v>
      </c>
      <c r="D66" s="137"/>
      <c r="E66" s="136">
        <f>PERNEM!D14</f>
        <v>78989.73856884075</v>
      </c>
      <c r="F66" s="136">
        <f>PERNEM!E14</f>
        <v>12517.936209903577</v>
      </c>
      <c r="G66" s="136">
        <f>PERNEM!F14</f>
        <v>91507.67477874433</v>
      </c>
      <c r="H66" s="136">
        <f>PERNEM!G14</f>
        <v>1515.2542665494502</v>
      </c>
      <c r="I66" s="136">
        <f>PERNEM!H14</f>
        <v>1419.2493980313693</v>
      </c>
      <c r="J66" s="136">
        <f>PERNEM!I14</f>
        <v>94442.17844332515</v>
      </c>
      <c r="K66" s="136">
        <f>PERNEM!J14</f>
        <v>30654.14717609963</v>
      </c>
      <c r="L66" s="136">
        <f>PERNEM!K14</f>
        <v>27602.45123256442</v>
      </c>
      <c r="M66" s="136">
        <f>PERNEM!L14</f>
        <v>27775.71293671987</v>
      </c>
      <c r="N66" s="136">
        <f>PERNEM!M14</f>
        <v>41002.24290658647</v>
      </c>
      <c r="O66" s="136">
        <f>PERNEM!N14</f>
        <v>1160</v>
      </c>
      <c r="P66" s="136">
        <f>PERNEM!O14</f>
        <v>7185</v>
      </c>
      <c r="Q66" s="136">
        <f>PERNEM!P14</f>
        <v>14857</v>
      </c>
      <c r="R66" s="136">
        <f>PERNEM!R14</f>
        <v>244678.73269529553</v>
      </c>
      <c r="T66" s="79">
        <v>87871.9871679116</v>
      </c>
      <c r="U66" s="79">
        <v>14063.4681982758</v>
      </c>
      <c r="V66" s="79">
        <v>101935.455366187</v>
      </c>
      <c r="W66" s="79">
        <v>7109.73182809101</v>
      </c>
      <c r="X66" s="79">
        <v>138141.831134008</v>
      </c>
      <c r="Y66" s="79">
        <v>247187.018328287</v>
      </c>
    </row>
    <row r="67" spans="1:25" s="73" customFormat="1" ht="18.75">
      <c r="A67" s="138"/>
      <c r="B67" s="138"/>
      <c r="C67" s="138"/>
      <c r="D67" s="137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T67" s="75"/>
      <c r="U67" s="75"/>
      <c r="V67" s="75"/>
      <c r="W67" s="75"/>
      <c r="X67" s="75"/>
      <c r="Y67" s="75"/>
    </row>
    <row r="68" spans="1:25" s="73" customFormat="1" ht="18.75">
      <c r="A68" s="138">
        <v>53</v>
      </c>
      <c r="B68" s="143"/>
      <c r="C68" s="143" t="s">
        <v>511</v>
      </c>
      <c r="D68" s="144"/>
      <c r="E68" s="145">
        <f aca="true" t="shared" si="2" ref="E68:Q68">E25+E41+E49+E58+E66</f>
        <v>623775.6795694199</v>
      </c>
      <c r="F68" s="145">
        <f t="shared" si="2"/>
        <v>128163.51729631909</v>
      </c>
      <c r="G68" s="145">
        <f t="shared" si="2"/>
        <v>751939.1968657392</v>
      </c>
      <c r="H68" s="145">
        <f t="shared" si="2"/>
        <v>15511.764660790494</v>
      </c>
      <c r="I68" s="145">
        <f t="shared" si="2"/>
        <v>14540.829341379507</v>
      </c>
      <c r="J68" s="145">
        <f t="shared" si="2"/>
        <v>781991.7908679091</v>
      </c>
      <c r="K68" s="145">
        <f t="shared" si="2"/>
        <v>4883656.25612943</v>
      </c>
      <c r="L68" s="145">
        <f t="shared" si="2"/>
        <v>277330.0606231242</v>
      </c>
      <c r="M68" s="145">
        <f t="shared" si="2"/>
        <v>404250.2072786657</v>
      </c>
      <c r="N68" s="145">
        <f t="shared" si="2"/>
        <v>597161.5440780303</v>
      </c>
      <c r="O68" s="145">
        <f t="shared" si="2"/>
        <v>5414.7541666666675</v>
      </c>
      <c r="P68" s="145">
        <f t="shared" si="2"/>
        <v>32591.833333333332</v>
      </c>
      <c r="Q68" s="145">
        <f t="shared" si="2"/>
        <v>68954.21875</v>
      </c>
      <c r="R68" s="145">
        <f>R25+R41+R49+R58+R66</f>
        <v>7051350.665227158</v>
      </c>
      <c r="T68" s="76">
        <v>844068.771033243</v>
      </c>
      <c r="U68" s="76">
        <v>247384.349886398</v>
      </c>
      <c r="V68" s="76">
        <v>1091453.12091964</v>
      </c>
      <c r="W68" s="76">
        <v>1489915.66570877</v>
      </c>
      <c r="X68" s="76">
        <v>2891387.51069144</v>
      </c>
      <c r="Y68" s="76">
        <v>5472757.29731985</v>
      </c>
    </row>
    <row r="69" spans="1:25" ht="18.75">
      <c r="A69" s="138"/>
      <c r="B69" s="138"/>
      <c r="C69" s="138"/>
      <c r="D69" s="141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T69" s="67"/>
      <c r="U69" s="67"/>
      <c r="V69" s="67"/>
      <c r="W69" s="67"/>
      <c r="X69" s="67"/>
      <c r="Y69" s="67"/>
    </row>
    <row r="70" spans="1:25" ht="18.75">
      <c r="A70" s="138"/>
      <c r="B70" s="138"/>
      <c r="C70" s="138"/>
      <c r="D70" s="141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T70" s="67"/>
      <c r="U70" s="67"/>
      <c r="V70" s="67"/>
      <c r="W70" s="67"/>
      <c r="X70" s="67"/>
      <c r="Y70" s="67"/>
    </row>
    <row r="71" spans="1:25" ht="18.75">
      <c r="A71" s="138"/>
      <c r="B71" s="138"/>
      <c r="C71" s="143" t="s">
        <v>450</v>
      </c>
      <c r="D71" s="141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T71" s="67"/>
      <c r="U71" s="67"/>
      <c r="V71" s="67"/>
      <c r="W71" s="67"/>
      <c r="X71" s="67"/>
      <c r="Y71" s="67"/>
    </row>
    <row r="72" spans="1:25" ht="18.75">
      <c r="A72" s="138"/>
      <c r="B72" s="138"/>
      <c r="C72" s="138" t="s">
        <v>41</v>
      </c>
      <c r="D72" s="141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T72" s="67"/>
      <c r="U72" s="67"/>
      <c r="V72" s="67"/>
      <c r="W72" s="67"/>
      <c r="X72" s="67"/>
      <c r="Y72" s="67"/>
    </row>
    <row r="73" spans="1:25" ht="18.75">
      <c r="A73" s="138">
        <v>1</v>
      </c>
      <c r="B73" s="138">
        <v>1</v>
      </c>
      <c r="C73" s="138" t="s">
        <v>71</v>
      </c>
      <c r="D73" s="137" t="s">
        <v>507</v>
      </c>
      <c r="E73" s="136">
        <f>'TISWADI '!D29</f>
        <v>0</v>
      </c>
      <c r="F73" s="136">
        <f>'TISWADI '!E29</f>
        <v>0</v>
      </c>
      <c r="G73" s="136">
        <f>'TISWADI '!F29</f>
        <v>0</v>
      </c>
      <c r="H73" s="136">
        <f>'TISWADI '!G29</f>
        <v>0</v>
      </c>
      <c r="I73" s="136">
        <f>'TISWADI '!H29</f>
        <v>0</v>
      </c>
      <c r="J73" s="136">
        <f>'TISWADI '!I29</f>
        <v>0</v>
      </c>
      <c r="K73" s="136">
        <f>'TISWADI '!J29</f>
        <v>6923.442273285441</v>
      </c>
      <c r="L73" s="136">
        <f>'TISWADI '!K29</f>
        <v>6709.30525021035</v>
      </c>
      <c r="M73" s="136">
        <f>'TISWADI '!L29</f>
        <v>10246.938927593988</v>
      </c>
      <c r="N73" s="136">
        <f>'TISWADI '!M29</f>
        <v>13126.433655019699</v>
      </c>
      <c r="O73" s="136">
        <f>'TISWADI '!N29</f>
        <v>44.84</v>
      </c>
      <c r="P73" s="136">
        <f>'TISWADI '!O29</f>
        <v>276</v>
      </c>
      <c r="Q73" s="136">
        <f>'TISWADI '!P29</f>
        <v>572</v>
      </c>
      <c r="R73" s="136">
        <f>'TISWADI '!S29</f>
        <v>37898.96010610947</v>
      </c>
      <c r="T73" s="66">
        <v>0</v>
      </c>
      <c r="U73" s="66">
        <v>0</v>
      </c>
      <c r="V73" s="66">
        <v>0</v>
      </c>
      <c r="W73" s="66">
        <v>1605.7800469069</v>
      </c>
      <c r="X73" s="66">
        <v>50962.5912409933</v>
      </c>
      <c r="Y73" s="66">
        <v>52569.3712879002</v>
      </c>
    </row>
    <row r="74" spans="1:25" ht="18.75">
      <c r="A74" s="138"/>
      <c r="B74" s="138"/>
      <c r="C74" s="138"/>
      <c r="D74" s="141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T74" s="67"/>
      <c r="U74" s="67"/>
      <c r="V74" s="67"/>
      <c r="W74" s="67"/>
      <c r="X74" s="67"/>
      <c r="Y74" s="67"/>
    </row>
    <row r="75" spans="1:25" ht="18.75">
      <c r="A75" s="138"/>
      <c r="B75" s="138"/>
      <c r="C75" s="138"/>
      <c r="D75" s="141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T75" s="67"/>
      <c r="U75" s="67"/>
      <c r="V75" s="67"/>
      <c r="W75" s="67"/>
      <c r="X75" s="67"/>
      <c r="Y75" s="67"/>
    </row>
    <row r="76" spans="1:25" ht="18.75">
      <c r="A76" s="138"/>
      <c r="B76" s="138"/>
      <c r="C76" s="143" t="s">
        <v>451</v>
      </c>
      <c r="D76" s="141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T76" s="67"/>
      <c r="U76" s="67"/>
      <c r="V76" s="67"/>
      <c r="W76" s="67"/>
      <c r="X76" s="67"/>
      <c r="Y76" s="67"/>
    </row>
    <row r="77" spans="1:25" ht="18.75">
      <c r="A77" s="138"/>
      <c r="B77" s="138"/>
      <c r="C77" s="138" t="s">
        <v>42</v>
      </c>
      <c r="D77" s="141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T77" s="67"/>
      <c r="U77" s="67"/>
      <c r="V77" s="67"/>
      <c r="W77" s="67"/>
      <c r="X77" s="67"/>
      <c r="Y77" s="67"/>
    </row>
    <row r="78" spans="1:25" ht="18.75">
      <c r="A78" s="138">
        <v>1</v>
      </c>
      <c r="B78" s="138">
        <v>1</v>
      </c>
      <c r="C78" s="138" t="s">
        <v>512</v>
      </c>
      <c r="D78" s="144" t="s">
        <v>507</v>
      </c>
      <c r="E78" s="145">
        <f>BARDEZ!D181</f>
        <v>0</v>
      </c>
      <c r="F78" s="145">
        <f>BARDEZ!E181</f>
        <v>0</v>
      </c>
      <c r="G78" s="145">
        <f>BARDEZ!F181</f>
        <v>0</v>
      </c>
      <c r="H78" s="145">
        <f>BARDEZ!G181</f>
        <v>0</v>
      </c>
      <c r="I78" s="145">
        <f>BARDEZ!H181</f>
        <v>0</v>
      </c>
      <c r="J78" s="145">
        <f>BARDEZ!I181</f>
        <v>0</v>
      </c>
      <c r="K78" s="145">
        <f>BARDEZ!J181</f>
        <v>34320.53806172221</v>
      </c>
      <c r="L78" s="145">
        <f>BARDEZ!K181</f>
        <v>9401.783586575018</v>
      </c>
      <c r="M78" s="145">
        <f>BARDEZ!L181</f>
        <v>14359.087659496392</v>
      </c>
      <c r="N78" s="145">
        <f>BARDEZ!M181</f>
        <v>21196.748449732768</v>
      </c>
      <c r="O78" s="145">
        <f>BARDEZ!N181</f>
        <v>39.2375</v>
      </c>
      <c r="P78" s="145">
        <f>BARDEZ!O181</f>
        <v>240</v>
      </c>
      <c r="Q78" s="145">
        <f>BARDEZ!P181</f>
        <v>501.09375</v>
      </c>
      <c r="R78" s="145">
        <f>BARDEZ!R181</f>
        <v>80058.48900752638</v>
      </c>
      <c r="T78" s="71">
        <v>0</v>
      </c>
      <c r="U78" s="71">
        <v>0</v>
      </c>
      <c r="V78" s="71">
        <v>0</v>
      </c>
      <c r="W78" s="71">
        <v>7960.09167741207</v>
      </c>
      <c r="X78" s="71">
        <v>71414.1384227347</v>
      </c>
      <c r="Y78" s="71">
        <v>79374.2301001468</v>
      </c>
    </row>
    <row r="79" spans="1:25" ht="18.75">
      <c r="A79" s="138"/>
      <c r="B79" s="138"/>
      <c r="C79" s="138"/>
      <c r="D79" s="141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T79" s="67"/>
      <c r="U79" s="67"/>
      <c r="V79" s="67"/>
      <c r="W79" s="67"/>
      <c r="X79" s="67"/>
      <c r="Y79" s="67"/>
    </row>
    <row r="80" spans="1:25" ht="18.75">
      <c r="A80" s="138"/>
      <c r="B80" s="138"/>
      <c r="C80" s="143" t="s">
        <v>452</v>
      </c>
      <c r="D80" s="141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T80" s="67"/>
      <c r="U80" s="67"/>
      <c r="V80" s="67"/>
      <c r="W80" s="67"/>
      <c r="X80" s="67"/>
      <c r="Y80" s="67"/>
    </row>
    <row r="81" spans="1:25" ht="18.75">
      <c r="A81" s="138"/>
      <c r="B81" s="138"/>
      <c r="C81" s="138" t="s">
        <v>41</v>
      </c>
      <c r="D81" s="141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T81" s="67"/>
      <c r="U81" s="67"/>
      <c r="V81" s="67"/>
      <c r="W81" s="67"/>
      <c r="X81" s="67"/>
      <c r="Y81" s="67"/>
    </row>
    <row r="82" spans="1:25" ht="18.75">
      <c r="A82" s="138">
        <v>1</v>
      </c>
      <c r="B82" s="138">
        <v>1</v>
      </c>
      <c r="C82" s="138" t="s">
        <v>182</v>
      </c>
      <c r="D82" s="144" t="s">
        <v>507</v>
      </c>
      <c r="E82" s="145">
        <f>'TISWADI '!D234</f>
        <v>0</v>
      </c>
      <c r="F82" s="145">
        <f>'TISWADI '!E234</f>
        <v>0</v>
      </c>
      <c r="G82" s="145">
        <f>'TISWADI '!F234</f>
        <v>0</v>
      </c>
      <c r="H82" s="145">
        <f>'TISWADI '!G234</f>
        <v>0</v>
      </c>
      <c r="I82" s="145">
        <f>'TISWADI '!H234</f>
        <v>0</v>
      </c>
      <c r="J82" s="145">
        <f>'TISWADI '!I234</f>
        <v>0</v>
      </c>
      <c r="K82" s="145">
        <f>'TISWADI '!J234</f>
        <v>15885.53556257127</v>
      </c>
      <c r="L82" s="145">
        <f>'TISWADI '!K234</f>
        <v>17333.23961072018</v>
      </c>
      <c r="M82" s="145">
        <f>'TISWADI '!L234</f>
        <v>27236.220496372633</v>
      </c>
      <c r="N82" s="145">
        <f>'TISWADI '!M234</f>
        <v>40205.849304169125</v>
      </c>
      <c r="O82" s="145">
        <f>'TISWADI '!N234</f>
        <v>44.84</v>
      </c>
      <c r="P82" s="145">
        <f>'TISWADI '!O234</f>
        <v>275</v>
      </c>
      <c r="Q82" s="145">
        <f>'TISWADI '!P234</f>
        <v>550</v>
      </c>
      <c r="R82" s="145">
        <f>'TISWADI '!S234</f>
        <v>101530.68497383321</v>
      </c>
      <c r="T82" s="71">
        <v>0</v>
      </c>
      <c r="U82" s="71">
        <v>0</v>
      </c>
      <c r="V82" s="71">
        <v>0</v>
      </c>
      <c r="W82" s="71">
        <v>3684.39210351097</v>
      </c>
      <c r="X82" s="71">
        <v>135457.855454606</v>
      </c>
      <c r="Y82" s="71">
        <v>139142.247558117</v>
      </c>
    </row>
    <row r="83" spans="1:25" ht="18.75">
      <c r="A83" s="138"/>
      <c r="B83" s="138"/>
      <c r="C83" s="138"/>
      <c r="D83" s="141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T83" s="67"/>
      <c r="U83" s="67"/>
      <c r="V83" s="67"/>
      <c r="W83" s="67"/>
      <c r="X83" s="67"/>
      <c r="Y83" s="67"/>
    </row>
    <row r="84" spans="1:25" ht="18.75">
      <c r="A84" s="138"/>
      <c r="B84" s="138"/>
      <c r="C84" s="143" t="s">
        <v>453</v>
      </c>
      <c r="D84" s="141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T84" s="67"/>
      <c r="U84" s="67"/>
      <c r="V84" s="67"/>
      <c r="W84" s="67"/>
      <c r="X84" s="67"/>
      <c r="Y84" s="67"/>
    </row>
    <row r="85" spans="1:25" ht="18.75">
      <c r="A85" s="138"/>
      <c r="B85" s="138"/>
      <c r="C85" s="138" t="s">
        <v>41</v>
      </c>
      <c r="D85" s="141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T85" s="67"/>
      <c r="U85" s="67"/>
      <c r="V85" s="67"/>
      <c r="W85" s="67"/>
      <c r="X85" s="67"/>
      <c r="Y85" s="67"/>
    </row>
    <row r="86" spans="1:25" ht="18.75">
      <c r="A86" s="138"/>
      <c r="B86" s="138">
        <v>1</v>
      </c>
      <c r="C86" s="138" t="s">
        <v>198</v>
      </c>
      <c r="D86" s="144" t="s">
        <v>507</v>
      </c>
      <c r="E86" s="145">
        <f>'TISWADI '!D267</f>
        <v>155.0321621909535</v>
      </c>
      <c r="F86" s="145">
        <f>'TISWADI '!E267</f>
        <v>0</v>
      </c>
      <c r="G86" s="145">
        <f>'TISWADI '!F267</f>
        <v>155.0321621909535</v>
      </c>
      <c r="H86" s="145">
        <f>'TISWADI '!G267</f>
        <v>0</v>
      </c>
      <c r="I86" s="145">
        <f>'TISWADI '!H267</f>
        <v>0</v>
      </c>
      <c r="J86" s="145">
        <f>'TISWADI '!I267</f>
        <v>155.0321621909535</v>
      </c>
      <c r="K86" s="145">
        <f>'TISWADI '!J267</f>
        <v>254.3829678981707</v>
      </c>
      <c r="L86" s="145">
        <f>'TISWADI '!K267</f>
        <v>67.66890800941356</v>
      </c>
      <c r="M86" s="145">
        <f>'TISWADI '!L267</f>
        <v>103.34887768710433</v>
      </c>
      <c r="N86" s="145">
        <f>'TISWADI '!M267</f>
        <v>152.56262896667783</v>
      </c>
      <c r="O86" s="145">
        <f>'TISWADI '!N267</f>
        <v>44</v>
      </c>
      <c r="P86" s="145">
        <f>'TISWADI '!O267</f>
        <v>276</v>
      </c>
      <c r="Q86" s="145">
        <f>'TISWADI '!P267</f>
        <v>550</v>
      </c>
      <c r="R86" s="145">
        <f>'TISWADI '!S267</f>
        <v>1602.9955447523198</v>
      </c>
      <c r="T86" s="71">
        <v>118</v>
      </c>
      <c r="U86" s="71">
        <v>0</v>
      </c>
      <c r="V86" s="71">
        <v>118</v>
      </c>
      <c r="W86" s="71">
        <v>59</v>
      </c>
      <c r="X86" s="71">
        <v>514</v>
      </c>
      <c r="Y86" s="71">
        <v>691</v>
      </c>
    </row>
    <row r="87" spans="1:25" ht="18.75">
      <c r="A87" s="138"/>
      <c r="B87" s="138"/>
      <c r="C87" s="138"/>
      <c r="D87" s="144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T87" s="71"/>
      <c r="U87" s="71"/>
      <c r="V87" s="71"/>
      <c r="W87" s="71"/>
      <c r="X87" s="71"/>
      <c r="Y87" s="71"/>
    </row>
    <row r="88" spans="1:25" ht="18.75">
      <c r="A88" s="138"/>
      <c r="B88" s="138"/>
      <c r="C88" s="138"/>
      <c r="D88" s="141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T88" s="67"/>
      <c r="U88" s="67"/>
      <c r="V88" s="67"/>
      <c r="W88" s="67"/>
      <c r="X88" s="67"/>
      <c r="Y88" s="67"/>
    </row>
    <row r="89" spans="1:25" ht="18.75">
      <c r="A89" s="138"/>
      <c r="B89" s="138"/>
      <c r="C89" s="143" t="s">
        <v>454</v>
      </c>
      <c r="D89" s="141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T89" s="67"/>
      <c r="U89" s="67"/>
      <c r="V89" s="67"/>
      <c r="W89" s="67"/>
      <c r="X89" s="67"/>
      <c r="Y89" s="67"/>
    </row>
    <row r="90" spans="1:25" ht="18.75">
      <c r="A90" s="138"/>
      <c r="B90" s="138"/>
      <c r="C90" s="138" t="s">
        <v>41</v>
      </c>
      <c r="D90" s="141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T90" s="67"/>
      <c r="U90" s="67"/>
      <c r="V90" s="67"/>
      <c r="W90" s="67"/>
      <c r="X90" s="67"/>
      <c r="Y90" s="67"/>
    </row>
    <row r="91" spans="1:25" ht="18.75">
      <c r="A91" s="138">
        <v>1</v>
      </c>
      <c r="B91" s="138">
        <v>1</v>
      </c>
      <c r="C91" s="138" t="s">
        <v>513</v>
      </c>
      <c r="D91" s="137" t="s">
        <v>507</v>
      </c>
      <c r="E91" s="136">
        <f>'TISWADI '!D269</f>
        <v>0</v>
      </c>
      <c r="F91" s="136">
        <f>'TISWADI '!E269</f>
        <v>0</v>
      </c>
      <c r="G91" s="136">
        <f>'TISWADI '!F269</f>
        <v>0</v>
      </c>
      <c r="H91" s="136">
        <f>'TISWADI '!G269</f>
        <v>0</v>
      </c>
      <c r="I91" s="136">
        <f>'TISWADI '!H269</f>
        <v>0</v>
      </c>
      <c r="J91" s="136">
        <f>'TISWADI '!I269</f>
        <v>0</v>
      </c>
      <c r="K91" s="136">
        <f>'TISWADI '!J269</f>
        <v>15978.871395540737</v>
      </c>
      <c r="L91" s="136">
        <f>'TISWADI '!K269</f>
        <v>1392.1325014845736</v>
      </c>
      <c r="M91" s="136">
        <f>'TISWADI '!L269</f>
        <v>2126.1660022673486</v>
      </c>
      <c r="N91" s="136">
        <f>'TISWADI '!M269</f>
        <v>3138.6260033470385</v>
      </c>
      <c r="O91" s="136">
        <f>'TISWADI '!N269</f>
        <v>44.84</v>
      </c>
      <c r="P91" s="136">
        <f>'TISWADI '!O269</f>
        <v>277.14</v>
      </c>
      <c r="Q91" s="136">
        <f>'TISWADI '!P269</f>
        <v>550</v>
      </c>
      <c r="R91" s="136">
        <f>'TISWADI '!S269</f>
        <v>23507.7759026397</v>
      </c>
      <c r="T91" s="66">
        <v>0</v>
      </c>
      <c r="U91" s="66">
        <v>0</v>
      </c>
      <c r="V91" s="66">
        <v>0</v>
      </c>
      <c r="W91" s="66">
        <v>3706.03983484573</v>
      </c>
      <c r="X91" s="66">
        <v>10574.3705168632</v>
      </c>
      <c r="Y91" s="66">
        <v>14280.4103517089</v>
      </c>
    </row>
    <row r="92" spans="1:25" ht="18.75">
      <c r="A92" s="138"/>
      <c r="B92" s="138"/>
      <c r="C92" s="138"/>
      <c r="D92" s="141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T92" s="67"/>
      <c r="U92" s="67"/>
      <c r="V92" s="67"/>
      <c r="W92" s="67"/>
      <c r="X92" s="67"/>
      <c r="Y92" s="67"/>
    </row>
    <row r="93" spans="1:25" ht="18.75">
      <c r="A93" s="138"/>
      <c r="B93" s="138"/>
      <c r="C93" s="138" t="s">
        <v>42</v>
      </c>
      <c r="D93" s="141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T93" s="67"/>
      <c r="U93" s="67"/>
      <c r="V93" s="67"/>
      <c r="W93" s="67"/>
      <c r="X93" s="67"/>
      <c r="Y93" s="67"/>
    </row>
    <row r="94" spans="1:25" ht="18.75">
      <c r="A94" s="138">
        <v>1</v>
      </c>
      <c r="B94" s="138">
        <v>2</v>
      </c>
      <c r="C94" s="138" t="s">
        <v>512</v>
      </c>
      <c r="D94" s="137" t="s">
        <v>507</v>
      </c>
      <c r="E94" s="136">
        <f>BARDEZ!D23</f>
        <v>18649.4356001486</v>
      </c>
      <c r="F94" s="136">
        <f>BARDEZ!E23</f>
        <v>17456.173616110053</v>
      </c>
      <c r="G94" s="136">
        <f>BARDEZ!F23</f>
        <v>36105.60921625866</v>
      </c>
      <c r="H94" s="136">
        <f>BARDEZ!G23</f>
        <v>2113.01137071719</v>
      </c>
      <c r="I94" s="136">
        <f>BARDEZ!H23</f>
        <v>1979.1332597616822</v>
      </c>
      <c r="J94" s="136">
        <f>BARDEZ!I23</f>
        <v>40197.75384673753</v>
      </c>
      <c r="K94" s="136">
        <f>BARDEZ!J23</f>
        <v>42690.675681200555</v>
      </c>
      <c r="L94" s="136">
        <f>BARDEZ!K23</f>
        <v>3111.4161408180144</v>
      </c>
      <c r="M94" s="136">
        <f>BARDEZ!L23</f>
        <v>4751.981015067513</v>
      </c>
      <c r="N94" s="136">
        <f>BARDEZ!M23</f>
        <v>7014.8291174806145</v>
      </c>
      <c r="O94" s="136">
        <f>BARDEZ!N23</f>
        <v>39.2375</v>
      </c>
      <c r="P94" s="136">
        <f>BARDEZ!O23</f>
        <v>242.5</v>
      </c>
      <c r="Q94" s="136">
        <f>BARDEZ!P23</f>
        <v>501.09375</v>
      </c>
      <c r="R94" s="136">
        <f>BARDEZ!R23</f>
        <v>98549.48705130421</v>
      </c>
      <c r="T94" s="66">
        <v>20720.2981752007</v>
      </c>
      <c r="U94" s="66">
        <v>19611.4070560227</v>
      </c>
      <c r="V94" s="66">
        <v>40330.7052312234</v>
      </c>
      <c r="W94" s="66">
        <v>9901.40922563293</v>
      </c>
      <c r="X94" s="66">
        <v>23633.7181051892</v>
      </c>
      <c r="Y94" s="66">
        <v>73865.8325620455</v>
      </c>
    </row>
    <row r="95" spans="1:25" ht="18.75">
      <c r="A95" s="138"/>
      <c r="B95" s="138"/>
      <c r="C95" s="138"/>
      <c r="D95" s="141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T95" s="67"/>
      <c r="U95" s="67"/>
      <c r="V95" s="67"/>
      <c r="W95" s="67"/>
      <c r="X95" s="67"/>
      <c r="Y95" s="67"/>
    </row>
    <row r="96" spans="1:25" ht="18.75">
      <c r="A96" s="138">
        <v>3</v>
      </c>
      <c r="B96" s="138"/>
      <c r="C96" s="143" t="s">
        <v>17</v>
      </c>
      <c r="D96" s="144"/>
      <c r="E96" s="145">
        <f aca="true" t="shared" si="3" ref="E96:Q96">E91+E94</f>
        <v>18649.4356001486</v>
      </c>
      <c r="F96" s="145">
        <f t="shared" si="3"/>
        <v>17456.173616110053</v>
      </c>
      <c r="G96" s="145">
        <f t="shared" si="3"/>
        <v>36105.60921625866</v>
      </c>
      <c r="H96" s="145">
        <f t="shared" si="3"/>
        <v>2113.01137071719</v>
      </c>
      <c r="I96" s="145">
        <f t="shared" si="3"/>
        <v>1979.1332597616822</v>
      </c>
      <c r="J96" s="145">
        <f t="shared" si="3"/>
        <v>40197.75384673753</v>
      </c>
      <c r="K96" s="145">
        <f t="shared" si="3"/>
        <v>58669.54707674129</v>
      </c>
      <c r="L96" s="145">
        <f t="shared" si="3"/>
        <v>4503.548642302588</v>
      </c>
      <c r="M96" s="145">
        <f t="shared" si="3"/>
        <v>6878.147017334862</v>
      </c>
      <c r="N96" s="145">
        <f t="shared" si="3"/>
        <v>10153.455120827653</v>
      </c>
      <c r="O96" s="145">
        <f t="shared" si="3"/>
        <v>84.0775</v>
      </c>
      <c r="P96" s="145">
        <f t="shared" si="3"/>
        <v>519.64</v>
      </c>
      <c r="Q96" s="145">
        <f t="shared" si="3"/>
        <v>1051.09375</v>
      </c>
      <c r="R96" s="145">
        <f>R91+R94</f>
        <v>122057.26295394391</v>
      </c>
      <c r="T96" s="71">
        <v>20720.2981752007</v>
      </c>
      <c r="U96" s="71">
        <v>19611.4070560227</v>
      </c>
      <c r="V96" s="71">
        <v>40330.7052312234</v>
      </c>
      <c r="W96" s="71">
        <v>14820.1919404787</v>
      </c>
      <c r="X96" s="71">
        <v>38761.3547020523</v>
      </c>
      <c r="Y96" s="71">
        <v>93912.2518737544</v>
      </c>
    </row>
    <row r="97" spans="1:25" ht="18.75">
      <c r="A97" s="138"/>
      <c r="B97" s="138"/>
      <c r="C97" s="138"/>
      <c r="D97" s="141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T97" s="67"/>
      <c r="U97" s="67"/>
      <c r="V97" s="67"/>
      <c r="W97" s="67"/>
      <c r="X97" s="67"/>
      <c r="Y97" s="67"/>
    </row>
    <row r="98" spans="1:25" ht="18.75">
      <c r="A98" s="138"/>
      <c r="B98" s="138"/>
      <c r="C98" s="143" t="s">
        <v>455</v>
      </c>
      <c r="D98" s="141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T98" s="67"/>
      <c r="U98" s="67"/>
      <c r="V98" s="67"/>
      <c r="W98" s="67"/>
      <c r="X98" s="67"/>
      <c r="Y98" s="67"/>
    </row>
    <row r="99" spans="1:25" ht="18.75">
      <c r="A99" s="138"/>
      <c r="B99" s="138"/>
      <c r="C99" s="138" t="s">
        <v>41</v>
      </c>
      <c r="D99" s="141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T99" s="67"/>
      <c r="U99" s="67"/>
      <c r="V99" s="67"/>
      <c r="W99" s="67"/>
      <c r="X99" s="67"/>
      <c r="Y99" s="67"/>
    </row>
    <row r="100" spans="1:25" ht="18.75">
      <c r="A100" s="138">
        <v>1</v>
      </c>
      <c r="B100" s="138">
        <v>1</v>
      </c>
      <c r="C100" s="138" t="s">
        <v>71</v>
      </c>
      <c r="D100" s="137" t="s">
        <v>507</v>
      </c>
      <c r="E100" s="136">
        <f>'TISWADI '!D33</f>
        <v>0</v>
      </c>
      <c r="F100" s="136">
        <f>'TISWADI '!E33</f>
        <v>0</v>
      </c>
      <c r="G100" s="136">
        <f>'TISWADI '!F33</f>
        <v>0</v>
      </c>
      <c r="H100" s="136">
        <f>'TISWADI '!G33</f>
        <v>0</v>
      </c>
      <c r="I100" s="136">
        <f>'TISWADI '!H33</f>
        <v>0</v>
      </c>
      <c r="J100" s="136">
        <f>'TISWADI '!I33</f>
        <v>0</v>
      </c>
      <c r="K100" s="136">
        <f>'TISWADI '!J33</f>
        <v>212748.345254124</v>
      </c>
      <c r="L100" s="136">
        <f>'TISWADI '!K33</f>
        <v>13921.325014845734</v>
      </c>
      <c r="M100" s="136">
        <f>'TISWADI '!L33</f>
        <v>21261.66002267348</v>
      </c>
      <c r="N100" s="136">
        <f>'TISWADI '!M33</f>
        <v>31386.260033470382</v>
      </c>
      <c r="O100" s="136">
        <f>'TISWADI '!N33</f>
        <v>44.84</v>
      </c>
      <c r="P100" s="136">
        <f>'TISWADI '!O33</f>
        <v>277.14</v>
      </c>
      <c r="Q100" s="136">
        <f>'TISWADI '!P33</f>
        <v>572</v>
      </c>
      <c r="R100" s="136">
        <f>'TISWADI '!S33</f>
        <v>280211.57032511366</v>
      </c>
      <c r="T100" s="66">
        <v>0</v>
      </c>
      <c r="U100" s="66">
        <v>0</v>
      </c>
      <c r="V100" s="66">
        <v>0</v>
      </c>
      <c r="W100" s="66">
        <v>49343.5251334041</v>
      </c>
      <c r="X100" s="66">
        <v>105743.705168632</v>
      </c>
      <c r="Y100" s="66">
        <v>155088.230302036</v>
      </c>
    </row>
    <row r="101" spans="1:25" ht="18.75">
      <c r="A101" s="138"/>
      <c r="B101" s="138"/>
      <c r="C101" s="138" t="s">
        <v>42</v>
      </c>
      <c r="D101" s="141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T101" s="67"/>
      <c r="U101" s="67"/>
      <c r="V101" s="67"/>
      <c r="W101" s="67"/>
      <c r="X101" s="67"/>
      <c r="Y101" s="67"/>
    </row>
    <row r="102" spans="1:25" ht="18.75">
      <c r="A102" s="138">
        <v>1</v>
      </c>
      <c r="B102" s="138">
        <v>2</v>
      </c>
      <c r="C102" s="138" t="s">
        <v>321</v>
      </c>
      <c r="D102" s="137" t="s">
        <v>507</v>
      </c>
      <c r="E102" s="136">
        <f>BARDEZ!D189</f>
        <v>0</v>
      </c>
      <c r="F102" s="136">
        <f>BARDEZ!E189</f>
        <v>0</v>
      </c>
      <c r="G102" s="136">
        <f>BARDEZ!F189</f>
        <v>0</v>
      </c>
      <c r="H102" s="136">
        <f>BARDEZ!G189</f>
        <v>0</v>
      </c>
      <c r="I102" s="136">
        <f>BARDEZ!H189</f>
        <v>0</v>
      </c>
      <c r="J102" s="136">
        <f>BARDEZ!I189</f>
        <v>0</v>
      </c>
      <c r="K102" s="136">
        <f>BARDEZ!J189</f>
        <v>181652.47509389318</v>
      </c>
      <c r="L102" s="136">
        <f>BARDEZ!K189</f>
        <v>5279.127698670473</v>
      </c>
      <c r="M102" s="136">
        <f>BARDEZ!L189</f>
        <v>8062.667757969449</v>
      </c>
      <c r="N102" s="136">
        <f>BARDEZ!M189</f>
        <v>11902.033357002521</v>
      </c>
      <c r="O102" s="136">
        <f>BARDEZ!N189</f>
        <v>39.2375</v>
      </c>
      <c r="P102" s="136">
        <f>BARDEZ!O189</f>
        <v>240</v>
      </c>
      <c r="Q102" s="136">
        <f>BARDEZ!P189</f>
        <v>495</v>
      </c>
      <c r="R102" s="136">
        <f>BARDEZ!R189</f>
        <v>207670.54140753558</v>
      </c>
      <c r="T102" s="66">
        <v>0</v>
      </c>
      <c r="U102" s="66">
        <v>0</v>
      </c>
      <c r="V102" s="66">
        <v>0</v>
      </c>
      <c r="W102" s="66">
        <v>42131.3428296422</v>
      </c>
      <c r="X102" s="66">
        <v>40099.2378470057</v>
      </c>
      <c r="Y102" s="66">
        <v>82229.5806766479</v>
      </c>
    </row>
    <row r="103" spans="1:25" ht="18.75">
      <c r="A103" s="138"/>
      <c r="B103" s="138"/>
      <c r="C103" s="138"/>
      <c r="D103" s="141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T103" s="67"/>
      <c r="U103" s="67"/>
      <c r="V103" s="67"/>
      <c r="W103" s="67"/>
      <c r="X103" s="67"/>
      <c r="Y103" s="67"/>
    </row>
    <row r="104" spans="1:25" ht="18.75">
      <c r="A104" s="138">
        <v>2</v>
      </c>
      <c r="B104" s="138"/>
      <c r="C104" s="143" t="s">
        <v>17</v>
      </c>
      <c r="D104" s="144"/>
      <c r="E104" s="145">
        <f aca="true" t="shared" si="4" ref="E104:Q104">E100+E102</f>
        <v>0</v>
      </c>
      <c r="F104" s="145">
        <f t="shared" si="4"/>
        <v>0</v>
      </c>
      <c r="G104" s="145">
        <f t="shared" si="4"/>
        <v>0</v>
      </c>
      <c r="H104" s="145">
        <f t="shared" si="4"/>
        <v>0</v>
      </c>
      <c r="I104" s="145">
        <f t="shared" si="4"/>
        <v>0</v>
      </c>
      <c r="J104" s="145">
        <f t="shared" si="4"/>
        <v>0</v>
      </c>
      <c r="K104" s="145">
        <f t="shared" si="4"/>
        <v>394400.82034801715</v>
      </c>
      <c r="L104" s="145">
        <f t="shared" si="4"/>
        <v>19200.452713516206</v>
      </c>
      <c r="M104" s="145">
        <f t="shared" si="4"/>
        <v>29324.32778064293</v>
      </c>
      <c r="N104" s="145">
        <f t="shared" si="4"/>
        <v>43288.2933904729</v>
      </c>
      <c r="O104" s="145">
        <f t="shared" si="4"/>
        <v>84.0775</v>
      </c>
      <c r="P104" s="145">
        <f t="shared" si="4"/>
        <v>517.14</v>
      </c>
      <c r="Q104" s="145">
        <f t="shared" si="4"/>
        <v>1067</v>
      </c>
      <c r="R104" s="145">
        <f>R100+R102</f>
        <v>487882.11173264927</v>
      </c>
      <c r="T104" s="71">
        <v>0</v>
      </c>
      <c r="U104" s="71">
        <v>0</v>
      </c>
      <c r="V104" s="71">
        <v>0</v>
      </c>
      <c r="W104" s="71">
        <v>91474.8679630463</v>
      </c>
      <c r="X104" s="71">
        <v>145842.943015637</v>
      </c>
      <c r="Y104" s="71">
        <v>237317.810978684</v>
      </c>
    </row>
    <row r="105" spans="1:25" ht="18.75">
      <c r="A105" s="138"/>
      <c r="B105" s="138"/>
      <c r="C105" s="138"/>
      <c r="D105" s="141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T105" s="67"/>
      <c r="U105" s="67"/>
      <c r="V105" s="67"/>
      <c r="W105" s="67"/>
      <c r="X105" s="67"/>
      <c r="Y105" s="67"/>
    </row>
    <row r="106" spans="1:25" ht="18.75">
      <c r="A106" s="138"/>
      <c r="B106" s="138"/>
      <c r="C106" s="143" t="s">
        <v>456</v>
      </c>
      <c r="D106" s="141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T106" s="67"/>
      <c r="U106" s="67"/>
      <c r="V106" s="67"/>
      <c r="W106" s="67"/>
      <c r="X106" s="67"/>
      <c r="Y106" s="67"/>
    </row>
    <row r="107" spans="1:25" ht="18.75">
      <c r="A107" s="138"/>
      <c r="B107" s="138"/>
      <c r="C107" s="138" t="s">
        <v>41</v>
      </c>
      <c r="D107" s="141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T107" s="67"/>
      <c r="U107" s="67"/>
      <c r="V107" s="67"/>
      <c r="W107" s="67"/>
      <c r="X107" s="67"/>
      <c r="Y107" s="67"/>
    </row>
    <row r="108" spans="1:25" ht="18.75">
      <c r="A108" s="138"/>
      <c r="B108" s="138">
        <v>1</v>
      </c>
      <c r="C108" s="138" t="s">
        <v>71</v>
      </c>
      <c r="D108" s="137" t="s">
        <v>507</v>
      </c>
      <c r="E108" s="136">
        <f>'TISWADI '!D37</f>
        <v>0</v>
      </c>
      <c r="F108" s="136">
        <f>'TISWADI '!E37</f>
        <v>620.4788811131558</v>
      </c>
      <c r="G108" s="136">
        <f>'TISWADI '!F37</f>
        <v>620.4788811131558</v>
      </c>
      <c r="H108" s="136">
        <f>'TISWADI '!G37</f>
        <v>75.10689111570258</v>
      </c>
      <c r="I108" s="136">
        <f>'TISWADI '!H37</f>
        <v>70.34819987453884</v>
      </c>
      <c r="J108" s="136">
        <f>'TISWADI '!I37</f>
        <v>765.9339721033972</v>
      </c>
      <c r="K108" s="136">
        <f>'TISWADI '!J37</f>
        <v>184202.0902739051</v>
      </c>
      <c r="L108" s="136">
        <f>'TISWADI '!K37</f>
        <v>36987.956653439316</v>
      </c>
      <c r="M108" s="136">
        <f>'TISWADI '!L37</f>
        <v>56643.42470707095</v>
      </c>
      <c r="N108" s="136">
        <f>'TISWADI '!M37</f>
        <v>83616.48409139046</v>
      </c>
      <c r="O108" s="136">
        <f>'TISWADI '!N37</f>
        <v>44.84</v>
      </c>
      <c r="P108" s="136">
        <f>'TISWADI '!O37</f>
        <v>274</v>
      </c>
      <c r="Q108" s="136">
        <f>'TISWADI '!P37</f>
        <v>572</v>
      </c>
      <c r="R108" s="136">
        <f>'TISWADI '!S37</f>
        <v>363106.72969790926</v>
      </c>
      <c r="T108" s="66">
        <v>0</v>
      </c>
      <c r="U108" s="66">
        <v>697.086553719053</v>
      </c>
      <c r="V108" s="66">
        <v>697.086553719053</v>
      </c>
      <c r="W108" s="66">
        <v>42722.68468269</v>
      </c>
      <c r="X108" s="66">
        <v>281712.979869808</v>
      </c>
      <c r="Y108" s="66">
        <v>325132.751106217</v>
      </c>
    </row>
    <row r="109" spans="1:25" ht="18.75">
      <c r="A109" s="138"/>
      <c r="B109" s="138">
        <v>2</v>
      </c>
      <c r="C109" s="138" t="s">
        <v>82</v>
      </c>
      <c r="D109" s="137" t="s">
        <v>507</v>
      </c>
      <c r="E109" s="136">
        <f>'TISWADI '!D38</f>
        <v>337.9176730969995</v>
      </c>
      <c r="F109" s="136">
        <f>'TISWADI '!E38</f>
        <v>117.64343886906447</v>
      </c>
      <c r="G109" s="136">
        <f>'TISWADI '!F38</f>
        <v>455.561111966064</v>
      </c>
      <c r="H109" s="136">
        <f>'TISWADI '!G38</f>
        <v>14.240344389746053</v>
      </c>
      <c r="I109" s="136">
        <f>'TISWADI '!H38</f>
        <v>23.33809159893027</v>
      </c>
      <c r="J109" s="136">
        <f>'TISWADI '!I38</f>
        <v>493.1395479547403</v>
      </c>
      <c r="K109" s="136">
        <f>'TISWADI '!J38</f>
        <v>8636.009915279936</v>
      </c>
      <c r="L109" s="136">
        <f>'TISWADI '!K38</f>
        <v>1256.7862860624582</v>
      </c>
      <c r="M109" s="136">
        <f>'TISWADI '!L38</f>
        <v>1919.4554187135725</v>
      </c>
      <c r="N109" s="136">
        <f>'TISWADI '!M38</f>
        <v>2833.481808577178</v>
      </c>
      <c r="O109" s="136">
        <f>'TISWADI '!N38</f>
        <v>44.84</v>
      </c>
      <c r="P109" s="136">
        <f>'TISWADI '!O38</f>
        <v>274</v>
      </c>
      <c r="Q109" s="136">
        <f>'TISWADI '!P38</f>
        <v>572</v>
      </c>
      <c r="R109" s="136">
        <f>'TISWADI '!S38</f>
        <v>16029.712976587887</v>
      </c>
      <c r="T109" s="66">
        <v>379.638813423193</v>
      </c>
      <c r="U109" s="66">
        <v>132.16833298463</v>
      </c>
      <c r="V109" s="66">
        <v>511.807146407823</v>
      </c>
      <c r="W109" s="66">
        <v>2002.98231132156</v>
      </c>
      <c r="X109" s="66">
        <v>9546.30671661258</v>
      </c>
      <c r="Y109" s="66">
        <v>12061.096174342</v>
      </c>
    </row>
    <row r="110" spans="1:25" ht="18.75">
      <c r="A110" s="138">
        <v>2</v>
      </c>
      <c r="B110" s="138"/>
      <c r="C110" s="138" t="s">
        <v>78</v>
      </c>
      <c r="D110" s="137"/>
      <c r="E110" s="136">
        <f aca="true" t="shared" si="5" ref="E110:R110">E108+E109</f>
        <v>337.9176730969995</v>
      </c>
      <c r="F110" s="136">
        <f t="shared" si="5"/>
        <v>738.1223199822202</v>
      </c>
      <c r="G110" s="136">
        <f t="shared" si="5"/>
        <v>1076.0399930792198</v>
      </c>
      <c r="H110" s="136">
        <f t="shared" si="5"/>
        <v>89.34723550544864</v>
      </c>
      <c r="I110" s="136">
        <f t="shared" si="5"/>
        <v>93.68629147346911</v>
      </c>
      <c r="J110" s="136">
        <f t="shared" si="5"/>
        <v>1259.0735200581375</v>
      </c>
      <c r="K110" s="136">
        <f t="shared" si="5"/>
        <v>192838.10018918503</v>
      </c>
      <c r="L110" s="136">
        <f t="shared" si="5"/>
        <v>38244.742939501775</v>
      </c>
      <c r="M110" s="136">
        <f t="shared" si="5"/>
        <v>58562.880125784526</v>
      </c>
      <c r="N110" s="136">
        <f t="shared" si="5"/>
        <v>86449.96589996765</v>
      </c>
      <c r="O110" s="136">
        <f t="shared" si="5"/>
        <v>89.68</v>
      </c>
      <c r="P110" s="136">
        <f t="shared" si="5"/>
        <v>548</v>
      </c>
      <c r="Q110" s="136">
        <f t="shared" si="5"/>
        <v>1144</v>
      </c>
      <c r="R110" s="136">
        <f t="shared" si="5"/>
        <v>379136.44267449714</v>
      </c>
      <c r="T110" s="66">
        <v>379.638813423193</v>
      </c>
      <c r="U110" s="66">
        <v>829.254886703683</v>
      </c>
      <c r="V110" s="66">
        <v>1208.89370012688</v>
      </c>
      <c r="W110" s="66">
        <v>44725.6669940116</v>
      </c>
      <c r="X110" s="66">
        <v>291259.286586421</v>
      </c>
      <c r="Y110" s="66">
        <v>337193.847280559</v>
      </c>
    </row>
    <row r="111" spans="1:25" ht="18.75">
      <c r="A111" s="138"/>
      <c r="B111" s="138"/>
      <c r="C111" s="138"/>
      <c r="D111" s="141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T111" s="67"/>
      <c r="U111" s="67"/>
      <c r="V111" s="67"/>
      <c r="W111" s="67"/>
      <c r="X111" s="67"/>
      <c r="Y111" s="67"/>
    </row>
    <row r="112" spans="1:25" ht="18.75">
      <c r="A112" s="138"/>
      <c r="B112" s="138"/>
      <c r="C112" s="138" t="s">
        <v>42</v>
      </c>
      <c r="D112" s="141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T112" s="67"/>
      <c r="U112" s="67"/>
      <c r="V112" s="67"/>
      <c r="W112" s="67"/>
      <c r="X112" s="67"/>
      <c r="Y112" s="67"/>
    </row>
    <row r="113" spans="1:25" ht="18.75">
      <c r="A113" s="138"/>
      <c r="B113" s="138">
        <v>3</v>
      </c>
      <c r="C113" s="138" t="s">
        <v>220</v>
      </c>
      <c r="D113" s="137" t="s">
        <v>507</v>
      </c>
      <c r="E113" s="136">
        <f>BARDEZ!D26</f>
        <v>46.983243777586786</v>
      </c>
      <c r="F113" s="136">
        <f>BARDEZ!E26</f>
        <v>1311.7243433900737</v>
      </c>
      <c r="G113" s="136">
        <f>BARDEZ!F26</f>
        <v>1358.7075871676604</v>
      </c>
      <c r="H113" s="136">
        <f>BARDEZ!G26</f>
        <v>158.7798399456691</v>
      </c>
      <c r="I113" s="136">
        <f>BARDEZ!H26</f>
        <v>148.7197213280731</v>
      </c>
      <c r="J113" s="136">
        <f>BARDEZ!I26</f>
        <v>1666.2071484414028</v>
      </c>
      <c r="K113" s="136">
        <f>BARDEZ!J26</f>
        <v>88524.85897156298</v>
      </c>
      <c r="L113" s="136">
        <f>BARDEZ!K26</f>
        <v>9212.050125101508</v>
      </c>
      <c r="M113" s="136">
        <f>BARDEZ!L26</f>
        <v>14069.312918336847</v>
      </c>
      <c r="N113" s="136">
        <f>BARDEZ!M26</f>
        <v>20768.98573659249</v>
      </c>
      <c r="O113" s="136">
        <f>BARDEZ!N26</f>
        <v>39.2375</v>
      </c>
      <c r="P113" s="136">
        <f>BARDEZ!O26</f>
        <v>242.5</v>
      </c>
      <c r="Q113" s="136">
        <f>BARDEZ!P26</f>
        <v>501.09375</v>
      </c>
      <c r="R113" s="136">
        <f>BARDEZ!R26</f>
        <v>135024.2461500352</v>
      </c>
      <c r="T113" s="66">
        <v>52.200336845689</v>
      </c>
      <c r="U113" s="66">
        <v>1473.67691277863</v>
      </c>
      <c r="V113" s="66">
        <v>1525.87724962432</v>
      </c>
      <c r="W113" s="66">
        <v>20531.9040125869</v>
      </c>
      <c r="X113" s="66">
        <v>69972.9595701985</v>
      </c>
      <c r="Y113" s="66">
        <v>92030.7408324097</v>
      </c>
    </row>
    <row r="114" spans="1:25" ht="18.75">
      <c r="A114" s="138"/>
      <c r="B114" s="138">
        <v>4</v>
      </c>
      <c r="C114" s="138" t="s">
        <v>221</v>
      </c>
      <c r="D114" s="137" t="s">
        <v>508</v>
      </c>
      <c r="E114" s="136">
        <f>BARDEZ!D27</f>
        <v>247.72983082727606</v>
      </c>
      <c r="F114" s="136">
        <f>BARDEZ!E27</f>
        <v>1148.9842529545328</v>
      </c>
      <c r="G114" s="136">
        <f>BARDEZ!F27</f>
        <v>1396.714083781809</v>
      </c>
      <c r="H114" s="136">
        <f>BARDEZ!G27</f>
        <v>139.08069687318684</v>
      </c>
      <c r="I114" s="136">
        <f>BARDEZ!H27</f>
        <v>130.26869461621934</v>
      </c>
      <c r="J114" s="136">
        <f>BARDEZ!I27</f>
        <v>1666.063475271215</v>
      </c>
      <c r="K114" s="136">
        <f>BARDEZ!J27</f>
        <v>3057.1475100091006</v>
      </c>
      <c r="L114" s="136">
        <f>BARDEZ!K27</f>
        <v>3259.523570837054</v>
      </c>
      <c r="M114" s="136">
        <f>BARDEZ!L27</f>
        <v>4978.181453642046</v>
      </c>
      <c r="N114" s="136">
        <f>BARDEZ!M27</f>
        <v>7348.7440506144485</v>
      </c>
      <c r="O114" s="136">
        <f>BARDEZ!N27</f>
        <v>39.2375</v>
      </c>
      <c r="P114" s="136">
        <f>BARDEZ!O27</f>
        <v>242.5</v>
      </c>
      <c r="Q114" s="136">
        <f>BARDEZ!P27</f>
        <v>501.09375</v>
      </c>
      <c r="R114" s="136">
        <f>BARDEZ!R27</f>
        <v>21092.49131037386</v>
      </c>
      <c r="T114" s="66">
        <v>275.238139731815</v>
      </c>
      <c r="U114" s="66">
        <v>1290.84405214989</v>
      </c>
      <c r="V114" s="66">
        <v>1566.0821918817</v>
      </c>
      <c r="W114" s="66">
        <v>709.055738207833</v>
      </c>
      <c r="X114" s="66">
        <v>24758.7136351776</v>
      </c>
      <c r="Y114" s="66">
        <v>27033.8515652671</v>
      </c>
    </row>
    <row r="115" spans="1:25" ht="18.75">
      <c r="A115" s="138"/>
      <c r="B115" s="138">
        <v>5</v>
      </c>
      <c r="C115" s="138" t="s">
        <v>222</v>
      </c>
      <c r="D115" s="137" t="s">
        <v>508</v>
      </c>
      <c r="E115" s="136">
        <f>BARDEZ!D28</f>
        <v>662.0366168659957</v>
      </c>
      <c r="F115" s="136">
        <f>BARDEZ!E28</f>
        <v>1278.392035710501</v>
      </c>
      <c r="G115" s="136">
        <f>BARDEZ!F28</f>
        <v>1940.4286525764967</v>
      </c>
      <c r="H115" s="136">
        <f>BARDEZ!G28</f>
        <v>154.74507570190718</v>
      </c>
      <c r="I115" s="136">
        <f>BARDEZ!H28</f>
        <v>144.94059537504234</v>
      </c>
      <c r="J115" s="136">
        <f>BARDEZ!I28</f>
        <v>2240.1143236534463</v>
      </c>
      <c r="K115" s="136">
        <f>BARDEZ!J28</f>
        <v>20329.167340569</v>
      </c>
      <c r="L115" s="136">
        <f>BARDEZ!K28</f>
        <v>4780.041625236307</v>
      </c>
      <c r="M115" s="136">
        <f>BARDEZ!L28</f>
        <v>7300.427209451813</v>
      </c>
      <c r="N115" s="136">
        <f>BARDEZ!M28</f>
        <v>10776.82111871458</v>
      </c>
      <c r="O115" s="136">
        <f>BARDEZ!N28</f>
        <v>39.2375</v>
      </c>
      <c r="P115" s="136">
        <f>BARDEZ!O28</f>
        <v>242.5</v>
      </c>
      <c r="Q115" s="136">
        <f>BARDEZ!P28</f>
        <v>501.09375</v>
      </c>
      <c r="R115" s="136">
        <f>BARDEZ!R28</f>
        <v>46209.40286762515</v>
      </c>
      <c r="T115" s="66">
        <v>735.550201007436</v>
      </c>
      <c r="U115" s="66">
        <v>1436.22921843298</v>
      </c>
      <c r="V115" s="66">
        <v>2171.77941944041</v>
      </c>
      <c r="W115" s="66">
        <v>4715.02036085096</v>
      </c>
      <c r="X115" s="66">
        <v>36308.276099707</v>
      </c>
      <c r="Y115" s="66">
        <v>43195.0758799984</v>
      </c>
    </row>
    <row r="116" spans="1:25" ht="18.75">
      <c r="A116" s="138"/>
      <c r="B116" s="138">
        <v>6</v>
      </c>
      <c r="C116" s="138" t="s">
        <v>223</v>
      </c>
      <c r="D116" s="137" t="s">
        <v>507</v>
      </c>
      <c r="E116" s="136">
        <f>BARDEZ!D29</f>
        <v>0</v>
      </c>
      <c r="F116" s="136">
        <f>BARDEZ!E29</f>
        <v>1654.8510400915109</v>
      </c>
      <c r="G116" s="136">
        <f>BARDEZ!F29</f>
        <v>1654.8510400915109</v>
      </c>
      <c r="H116" s="136">
        <f>BARDEZ!G29</f>
        <v>200.31417774909497</v>
      </c>
      <c r="I116" s="136">
        <f>BARDEZ!H29</f>
        <v>187.62248849161958</v>
      </c>
      <c r="J116" s="136">
        <f>BARDEZ!I29</f>
        <v>2042.7877063322253</v>
      </c>
      <c r="K116" s="136">
        <f>BARDEZ!J29</f>
        <v>0</v>
      </c>
      <c r="L116" s="136">
        <f>BARDEZ!K29</f>
        <v>7818.7575131990225</v>
      </c>
      <c r="M116" s="136">
        <f>BARDEZ!L29</f>
        <v>11941.375111067598</v>
      </c>
      <c r="N116" s="136">
        <f>BARDEZ!M29</f>
        <v>17627.744211575977</v>
      </c>
      <c r="O116" s="136">
        <f>BARDEZ!N29</f>
        <v>39.2375</v>
      </c>
      <c r="P116" s="136">
        <f>BARDEZ!O29</f>
        <v>242.5</v>
      </c>
      <c r="Q116" s="136">
        <f>BARDEZ!P29</f>
        <v>501.09375</v>
      </c>
      <c r="R116" s="136">
        <f>BARDEZ!R29</f>
        <v>40213.49579217483</v>
      </c>
      <c r="T116" s="66">
        <v>0</v>
      </c>
      <c r="U116" s="66">
        <v>1859.1678839838</v>
      </c>
      <c r="V116" s="66">
        <v>1859.1678839838</v>
      </c>
      <c r="W116" s="66">
        <v>0</v>
      </c>
      <c r="X116" s="66">
        <v>59389.7770779045</v>
      </c>
      <c r="Y116" s="66">
        <v>61248.9449618883</v>
      </c>
    </row>
    <row r="117" spans="1:25" ht="18.75">
      <c r="A117" s="138"/>
      <c r="B117" s="138">
        <v>7</v>
      </c>
      <c r="C117" s="138" t="s">
        <v>224</v>
      </c>
      <c r="D117" s="137" t="s">
        <v>508</v>
      </c>
      <c r="E117" s="136">
        <f>BARDEZ!D30</f>
        <v>448.47641787696443</v>
      </c>
      <c r="F117" s="136">
        <f>BARDEZ!E30</f>
        <v>1623.4794563930948</v>
      </c>
      <c r="G117" s="136">
        <f>BARDEZ!F30</f>
        <v>2071.955874270059</v>
      </c>
      <c r="H117" s="136">
        <f>BARDEZ!G30</f>
        <v>196.51675257849615</v>
      </c>
      <c r="I117" s="136">
        <f>BARDEZ!H30</f>
        <v>184.0656640652383</v>
      </c>
      <c r="J117" s="136">
        <f>BARDEZ!I30</f>
        <v>2452.538290913794</v>
      </c>
      <c r="K117" s="136">
        <f>BARDEZ!J30</f>
        <v>15239.678830497358</v>
      </c>
      <c r="L117" s="136">
        <f>BARDEZ!K30</f>
        <v>1233.9707811770154</v>
      </c>
      <c r="M117" s="136">
        <f>BARDEZ!L30</f>
        <v>1884.6099203430779</v>
      </c>
      <c r="N117" s="136">
        <f>BARDEZ!M30</f>
        <v>2782.0432157445443</v>
      </c>
      <c r="O117" s="136">
        <f>BARDEZ!N30</f>
        <v>39.2375</v>
      </c>
      <c r="P117" s="136">
        <f>BARDEZ!O30</f>
        <v>242.5</v>
      </c>
      <c r="Q117" s="136">
        <f>BARDEZ!P30</f>
        <v>501.09375</v>
      </c>
      <c r="R117" s="136">
        <f>BARDEZ!R30</f>
        <v>24375.67228867579</v>
      </c>
      <c r="T117" s="66">
        <v>498.27594261794</v>
      </c>
      <c r="U117" s="66">
        <v>1823.9229951879</v>
      </c>
      <c r="V117" s="66">
        <v>2322.19893780584</v>
      </c>
      <c r="W117" s="66">
        <v>3534.59611871212</v>
      </c>
      <c r="X117" s="66">
        <v>9373.00453314176</v>
      </c>
      <c r="Y117" s="66">
        <v>15229.7995896597</v>
      </c>
    </row>
    <row r="118" spans="1:25" ht="18.75">
      <c r="A118" s="138"/>
      <c r="B118" s="138">
        <v>8</v>
      </c>
      <c r="C118" s="138" t="s">
        <v>225</v>
      </c>
      <c r="D118" s="137" t="s">
        <v>508</v>
      </c>
      <c r="E118" s="136">
        <f>BARDEZ!D31</f>
        <v>132.40732337319898</v>
      </c>
      <c r="F118" s="136">
        <f>BARDEZ!E31</f>
        <v>2729.327781762308</v>
      </c>
      <c r="G118" s="136">
        <f>BARDEZ!F31</f>
        <v>2861.7351051355067</v>
      </c>
      <c r="H118" s="136">
        <f>BARDEZ!G31</f>
        <v>330.3759898421099</v>
      </c>
      <c r="I118" s="136">
        <f>BARDEZ!H31</f>
        <v>309.4437250951837</v>
      </c>
      <c r="J118" s="136">
        <f>BARDEZ!I31</f>
        <v>3501.5548200728003</v>
      </c>
      <c r="K118" s="136">
        <f>BARDEZ!J31</f>
        <v>24399.60668063759</v>
      </c>
      <c r="L118" s="136">
        <f>BARDEZ!K31</f>
        <v>6153.612360034421</v>
      </c>
      <c r="M118" s="136">
        <f>BARDEZ!L31</f>
        <v>9398.244331688933</v>
      </c>
      <c r="N118" s="136">
        <f>BARDEZ!M31</f>
        <v>13873.59877535033</v>
      </c>
      <c r="O118" s="136">
        <f>BARDEZ!N31</f>
        <v>39.2375</v>
      </c>
      <c r="P118" s="136">
        <f>BARDEZ!O31</f>
        <v>242.5</v>
      </c>
      <c r="Q118" s="136">
        <f>BARDEZ!P31</f>
        <v>501.09375</v>
      </c>
      <c r="R118" s="136">
        <f>BARDEZ!R31</f>
        <v>58109.44821778408</v>
      </c>
      <c r="T118" s="66">
        <v>147.110040201487</v>
      </c>
      <c r="U118" s="66">
        <v>3066.30532524343</v>
      </c>
      <c r="V118" s="66">
        <v>3213.41536544491</v>
      </c>
      <c r="W118" s="66">
        <v>5659.09269025385</v>
      </c>
      <c r="X118" s="66">
        <v>46741.6550096787</v>
      </c>
      <c r="Y118" s="66">
        <v>55614.1630653774</v>
      </c>
    </row>
    <row r="119" spans="1:25" ht="18.75">
      <c r="A119" s="138"/>
      <c r="B119" s="138">
        <v>9</v>
      </c>
      <c r="C119" s="138" t="s">
        <v>226</v>
      </c>
      <c r="D119" s="137" t="s">
        <v>508</v>
      </c>
      <c r="E119" s="136">
        <f>BARDEZ!D32</f>
        <v>448.47641787696443</v>
      </c>
      <c r="F119" s="136">
        <f>BARDEZ!E32</f>
        <v>705.8606332143885</v>
      </c>
      <c r="G119" s="136">
        <f>BARDEZ!F32</f>
        <v>1154.3370510913528</v>
      </c>
      <c r="H119" s="136">
        <f>BARDEZ!G32</f>
        <v>85.44206633847652</v>
      </c>
      <c r="I119" s="136">
        <f>BARDEZ!H32</f>
        <v>80.02854959358181</v>
      </c>
      <c r="J119" s="136">
        <f>BARDEZ!I32</f>
        <v>1319.807667023411</v>
      </c>
      <c r="K119" s="136">
        <f>BARDEZ!J32</f>
        <v>14220.6296604943</v>
      </c>
      <c r="L119" s="136">
        <f>BARDEZ!K32</f>
        <v>1911.4752652328475</v>
      </c>
      <c r="M119" s="136">
        <f>BARDEZ!L32</f>
        <v>2919.344041446531</v>
      </c>
      <c r="N119" s="136">
        <f>BARDEZ!M32</f>
        <v>4309.507870706783</v>
      </c>
      <c r="O119" s="136">
        <f>BARDEZ!N32</f>
        <v>39.2375</v>
      </c>
      <c r="P119" s="136">
        <f>BARDEZ!O32</f>
        <v>242.5</v>
      </c>
      <c r="Q119" s="136">
        <f>BARDEZ!P32</f>
        <v>501.09375</v>
      </c>
      <c r="R119" s="136">
        <f>BARDEZ!R32</f>
        <v>25463.595754903872</v>
      </c>
      <c r="T119" s="66">
        <v>498.27594261794</v>
      </c>
      <c r="U119" s="66">
        <v>793.009997907782</v>
      </c>
      <c r="V119" s="66">
        <v>1291.28594052572</v>
      </c>
      <c r="W119" s="66">
        <v>3298.24420597617</v>
      </c>
      <c r="X119" s="66">
        <v>14519.1981846819</v>
      </c>
      <c r="Y119" s="66">
        <v>19107.7283311838</v>
      </c>
    </row>
    <row r="120" spans="1:25" ht="18.75">
      <c r="A120" s="138"/>
      <c r="B120" s="138">
        <v>10</v>
      </c>
      <c r="C120" s="138" t="s">
        <v>227</v>
      </c>
      <c r="D120" s="137" t="s">
        <v>508</v>
      </c>
      <c r="E120" s="136">
        <f>BARDEZ!D33</f>
        <v>0</v>
      </c>
      <c r="F120" s="136">
        <f>BARDEZ!E33</f>
        <v>0</v>
      </c>
      <c r="G120" s="136">
        <f>BARDEZ!F33</f>
        <v>0</v>
      </c>
      <c r="H120" s="136">
        <f>BARDEZ!G33</f>
        <v>0</v>
      </c>
      <c r="I120" s="136">
        <f>BARDEZ!H33</f>
        <v>0</v>
      </c>
      <c r="J120" s="136">
        <f>BARDEZ!I33</f>
        <v>0</v>
      </c>
      <c r="K120" s="136">
        <f>BARDEZ!J33</f>
        <v>0</v>
      </c>
      <c r="L120" s="136">
        <f>BARDEZ!K33</f>
        <v>99.90743952979996</v>
      </c>
      <c r="M120" s="136">
        <f>BARDEZ!L33</f>
        <v>152.58590764551266</v>
      </c>
      <c r="N120" s="136">
        <f>BARDEZ!M33</f>
        <v>225.24586366718538</v>
      </c>
      <c r="O120" s="136">
        <f>BARDEZ!N33</f>
        <v>39.2375</v>
      </c>
      <c r="P120" s="136">
        <f>BARDEZ!O33</f>
        <v>242.5</v>
      </c>
      <c r="Q120" s="136">
        <f>BARDEZ!P33</f>
        <v>501.09375</v>
      </c>
      <c r="R120" s="136">
        <f>BARDEZ!R33</f>
        <v>1260.570460842498</v>
      </c>
      <c r="T120" s="66">
        <v>0</v>
      </c>
      <c r="U120" s="66">
        <v>0</v>
      </c>
      <c r="V120" s="66">
        <v>0</v>
      </c>
      <c r="W120" s="66">
        <v>0</v>
      </c>
      <c r="X120" s="66">
        <v>758.87768</v>
      </c>
      <c r="Y120" s="66">
        <v>758.87768</v>
      </c>
    </row>
    <row r="121" spans="1:25" ht="18.75">
      <c r="A121" s="138"/>
      <c r="B121" s="138">
        <v>11</v>
      </c>
      <c r="C121" s="138" t="s">
        <v>228</v>
      </c>
      <c r="D121" s="137" t="s">
        <v>508</v>
      </c>
      <c r="E121" s="136">
        <f>BARDEZ!D34</f>
        <v>102.50889551473497</v>
      </c>
      <c r="F121" s="136">
        <f>BARDEZ!E34</f>
        <v>984.2834385378443</v>
      </c>
      <c r="G121" s="136">
        <f>BARDEZ!F34</f>
        <v>1086.7923340525792</v>
      </c>
      <c r="H121" s="136">
        <f>BARDEZ!G34</f>
        <v>119.14421472754256</v>
      </c>
      <c r="I121" s="136">
        <f>BARDEZ!H34</f>
        <v>111.59536637771714</v>
      </c>
      <c r="J121" s="136">
        <f>BARDEZ!I34</f>
        <v>1317.531915157839</v>
      </c>
      <c r="K121" s="136">
        <f>BARDEZ!J34</f>
        <v>14220.6296604943</v>
      </c>
      <c r="L121" s="136">
        <f>BARDEZ!K34</f>
        <v>917.6473405619114</v>
      </c>
      <c r="M121" s="136">
        <f>BARDEZ!L34</f>
        <v>1401.4977564945555</v>
      </c>
      <c r="N121" s="136">
        <f>BARDEZ!M34</f>
        <v>2068.877640539582</v>
      </c>
      <c r="O121" s="136">
        <f>BARDEZ!N34</f>
        <v>39.2375</v>
      </c>
      <c r="P121" s="136">
        <f>BARDEZ!O34</f>
        <v>224.5</v>
      </c>
      <c r="Q121" s="136">
        <f>BARDEZ!P34</f>
        <v>501.09375</v>
      </c>
      <c r="R121" s="136">
        <f>BARDEZ!R34</f>
        <v>20691.015563248187</v>
      </c>
      <c r="T121" s="66">
        <v>113.891644026958</v>
      </c>
      <c r="U121" s="66">
        <v>1105.80838597141</v>
      </c>
      <c r="V121" s="66">
        <v>1219.70002999836</v>
      </c>
      <c r="W121" s="66">
        <v>3298.24420597617</v>
      </c>
      <c r="X121" s="66">
        <v>6970.27256569897</v>
      </c>
      <c r="Y121" s="66">
        <v>11488.2168016735</v>
      </c>
    </row>
    <row r="122" spans="1:25" ht="18.75">
      <c r="A122" s="138">
        <v>9</v>
      </c>
      <c r="B122" s="138"/>
      <c r="C122" s="138" t="s">
        <v>78</v>
      </c>
      <c r="D122" s="137"/>
      <c r="E122" s="136">
        <f aca="true" t="shared" si="6" ref="E122:R122">SUM(E113:E121)</f>
        <v>2088.6187461127215</v>
      </c>
      <c r="F122" s="136">
        <f t="shared" si="6"/>
        <v>11436.902982054253</v>
      </c>
      <c r="G122" s="136">
        <f t="shared" si="6"/>
        <v>13525.521728166974</v>
      </c>
      <c r="H122" s="136">
        <f t="shared" si="6"/>
        <v>1384.398813756483</v>
      </c>
      <c r="I122" s="136">
        <f t="shared" si="6"/>
        <v>1296.6848049426756</v>
      </c>
      <c r="J122" s="136">
        <f t="shared" si="6"/>
        <v>16206.605346866134</v>
      </c>
      <c r="K122" s="136">
        <f t="shared" si="6"/>
        <v>179991.71865426464</v>
      </c>
      <c r="L122" s="136">
        <f t="shared" si="6"/>
        <v>35386.986020909884</v>
      </c>
      <c r="M122" s="136">
        <f t="shared" si="6"/>
        <v>54045.57865011692</v>
      </c>
      <c r="N122" s="136">
        <f t="shared" si="6"/>
        <v>79781.56848350592</v>
      </c>
      <c r="O122" s="136">
        <f t="shared" si="6"/>
        <v>353.13750000000005</v>
      </c>
      <c r="P122" s="136">
        <f t="shared" si="6"/>
        <v>2164.5</v>
      </c>
      <c r="Q122" s="136">
        <f t="shared" si="6"/>
        <v>4509.84375</v>
      </c>
      <c r="R122" s="136">
        <f t="shared" si="6"/>
        <v>372439.9384056635</v>
      </c>
      <c r="T122" s="66">
        <v>2319.54224704926</v>
      </c>
      <c r="U122" s="66">
        <v>12848.9647716558</v>
      </c>
      <c r="V122" s="66">
        <v>15168.5070187051</v>
      </c>
      <c r="W122" s="66">
        <v>41746.157332564</v>
      </c>
      <c r="X122" s="66">
        <v>268792.734356189</v>
      </c>
      <c r="Y122" s="66">
        <v>325708.398707458</v>
      </c>
    </row>
    <row r="123" spans="1:25" ht="18.75">
      <c r="A123" s="138"/>
      <c r="B123" s="138"/>
      <c r="C123" s="138"/>
      <c r="D123" s="141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T123" s="67"/>
      <c r="U123" s="67"/>
      <c r="V123" s="67"/>
      <c r="W123" s="67"/>
      <c r="X123" s="67"/>
      <c r="Y123" s="67"/>
    </row>
    <row r="124" spans="1:25" ht="18.75">
      <c r="A124" s="138">
        <v>1</v>
      </c>
      <c r="B124" s="138">
        <v>13</v>
      </c>
      <c r="C124" s="138" t="s">
        <v>43</v>
      </c>
      <c r="D124" s="137" t="s">
        <v>507</v>
      </c>
      <c r="E124" s="136">
        <f>BICHOLIM!D23</f>
        <v>427.12039797806176</v>
      </c>
      <c r="F124" s="136">
        <f>BICHOLIM!E23</f>
        <v>1078.3981896330924</v>
      </c>
      <c r="G124" s="136">
        <f>BICHOLIM!F23</f>
        <v>1505.518587611154</v>
      </c>
      <c r="H124" s="136">
        <f>BICHOLIM!G23</f>
        <v>130.536490239339</v>
      </c>
      <c r="I124" s="136">
        <f>BICHOLIM!H23</f>
        <v>122.26583965686099</v>
      </c>
      <c r="J124" s="136">
        <f>BICHOLIM!I23</f>
        <v>1758.3209175073541</v>
      </c>
      <c r="K124" s="136">
        <f>BICHOLIM!J23</f>
        <v>14393.349858799893</v>
      </c>
      <c r="L124" s="136">
        <f>BICHOLIM!K23</f>
        <v>986.0938552182364</v>
      </c>
      <c r="M124" s="136">
        <f>BICHOLIM!L23</f>
        <v>2006.0342516060336</v>
      </c>
      <c r="N124" s="136">
        <f>BICHOLIM!M23</f>
        <v>2223.1934190374786</v>
      </c>
      <c r="O124" s="136">
        <f>BICHOLIM!N23</f>
        <v>165</v>
      </c>
      <c r="P124" s="136">
        <f>BICHOLIM!O23</f>
        <v>914</v>
      </c>
      <c r="Q124" s="136">
        <f>BICHOLIM!P23</f>
        <v>2009</v>
      </c>
      <c r="R124" s="136">
        <f>BICHOLIM!R23</f>
        <v>24454.992302168994</v>
      </c>
      <c r="T124" s="66">
        <v>474.548516778991</v>
      </c>
      <c r="U124" s="66">
        <v>1211.54305235911</v>
      </c>
      <c r="V124" s="66">
        <v>1687.0915691381</v>
      </c>
      <c r="W124" s="66">
        <v>3338.3038522026</v>
      </c>
      <c r="X124" s="66">
        <v>7490.17911611141</v>
      </c>
      <c r="Y124" s="66">
        <v>12514.5745374521</v>
      </c>
    </row>
    <row r="125" spans="1:25" ht="18.75">
      <c r="A125" s="138"/>
      <c r="B125" s="138"/>
      <c r="C125" s="138"/>
      <c r="D125" s="141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T125" s="67"/>
      <c r="U125" s="67"/>
      <c r="V125" s="67"/>
      <c r="W125" s="67"/>
      <c r="X125" s="67"/>
      <c r="Y125" s="67"/>
    </row>
    <row r="126" spans="1:25" ht="18.75">
      <c r="A126" s="138"/>
      <c r="B126" s="138"/>
      <c r="C126" s="138" t="s">
        <v>44</v>
      </c>
      <c r="D126" s="141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T126" s="67"/>
      <c r="U126" s="67"/>
      <c r="V126" s="67"/>
      <c r="W126" s="67"/>
      <c r="X126" s="67"/>
      <c r="Y126" s="67"/>
    </row>
    <row r="127" spans="1:25" s="80" customFormat="1" ht="18.75">
      <c r="A127" s="138">
        <v>1</v>
      </c>
      <c r="B127" s="138">
        <v>14</v>
      </c>
      <c r="C127" s="138" t="s">
        <v>401</v>
      </c>
      <c r="D127" s="137" t="s">
        <v>508</v>
      </c>
      <c r="E127" s="136">
        <f>PERNEM!D23</f>
        <v>19237.091207008147</v>
      </c>
      <c r="F127" s="136">
        <f>PERNEM!E23</f>
        <v>28451.356105256225</v>
      </c>
      <c r="G127" s="136">
        <f>PERNEM!F23</f>
        <v>47688.44731226437</v>
      </c>
      <c r="H127" s="136">
        <f>PERNEM!G23</f>
        <v>3443.9413977441354</v>
      </c>
      <c r="I127" s="136">
        <f>PERNEM!H23</f>
        <v>3225.7370023674257</v>
      </c>
      <c r="J127" s="136">
        <f>PERNEM!I23</f>
        <v>54358.12571237593</v>
      </c>
      <c r="K127" s="136">
        <f>PERNEM!J23</f>
        <v>0</v>
      </c>
      <c r="L127" s="136">
        <f>PERNEM!K23</f>
        <v>8274.957421581374</v>
      </c>
      <c r="M127" s="136">
        <f>PERNEM!L23</f>
        <v>12638.116789324278</v>
      </c>
      <c r="N127" s="136">
        <f>PERNEM!M23</f>
        <v>18656.26764138346</v>
      </c>
      <c r="O127" s="136">
        <f>PERNEM!N23</f>
        <v>232</v>
      </c>
      <c r="P127" s="136">
        <f>PERNEM!O23</f>
        <v>1437</v>
      </c>
      <c r="Q127" s="136">
        <f>PERNEM!P23</f>
        <v>2969</v>
      </c>
      <c r="R127" s="136">
        <f>PERNEM!R23</f>
        <v>98565.46756466504</v>
      </c>
      <c r="T127" s="81">
        <v>21373.2079822064</v>
      </c>
      <c r="U127" s="81">
        <v>31964.1141378826</v>
      </c>
      <c r="V127" s="81">
        <v>53337.322120089</v>
      </c>
      <c r="W127" s="81">
        <v>0</v>
      </c>
      <c r="X127" s="81">
        <v>62855.8207473207</v>
      </c>
      <c r="Y127" s="81">
        <v>116193.14286741</v>
      </c>
    </row>
    <row r="128" spans="1:25" ht="18.75">
      <c r="A128" s="138"/>
      <c r="B128" s="138"/>
      <c r="C128" s="138"/>
      <c r="D128" s="141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  <c r="R128" s="138"/>
      <c r="T128" s="67"/>
      <c r="U128" s="67"/>
      <c r="V128" s="67"/>
      <c r="W128" s="67"/>
      <c r="X128" s="67"/>
      <c r="Y128" s="67"/>
    </row>
    <row r="129" spans="1:25" ht="18.75">
      <c r="A129" s="138">
        <v>14</v>
      </c>
      <c r="B129" s="138"/>
      <c r="C129" s="143" t="s">
        <v>17</v>
      </c>
      <c r="D129" s="144"/>
      <c r="E129" s="145">
        <f aca="true" t="shared" si="7" ref="E129:R129">E110+E122+E124+E127</f>
        <v>22090.748024195927</v>
      </c>
      <c r="F129" s="145">
        <f t="shared" si="7"/>
        <v>41704.779596925786</v>
      </c>
      <c r="G129" s="145">
        <f t="shared" si="7"/>
        <v>63795.52762112171</v>
      </c>
      <c r="H129" s="145">
        <f t="shared" si="7"/>
        <v>5048.223937245406</v>
      </c>
      <c r="I129" s="145">
        <f t="shared" si="7"/>
        <v>4738.373938440432</v>
      </c>
      <c r="J129" s="145">
        <f t="shared" si="7"/>
        <v>73582.12549680755</v>
      </c>
      <c r="K129" s="145">
        <f t="shared" si="7"/>
        <v>387223.1687022496</v>
      </c>
      <c r="L129" s="145">
        <f t="shared" si="7"/>
        <v>82892.78023721126</v>
      </c>
      <c r="M129" s="145">
        <f t="shared" si="7"/>
        <v>127252.60981683175</v>
      </c>
      <c r="N129" s="145">
        <f t="shared" si="7"/>
        <v>187110.9954438945</v>
      </c>
      <c r="O129" s="145">
        <f t="shared" si="7"/>
        <v>839.8175000000001</v>
      </c>
      <c r="P129" s="145">
        <f t="shared" si="7"/>
        <v>5063.5</v>
      </c>
      <c r="Q129" s="145">
        <f t="shared" si="7"/>
        <v>10631.84375</v>
      </c>
      <c r="R129" s="145">
        <f t="shared" si="7"/>
        <v>874596.8409469946</v>
      </c>
      <c r="T129" s="71">
        <v>46125.6586173986</v>
      </c>
      <c r="U129" s="71">
        <v>74203.9105542207</v>
      </c>
      <c r="V129" s="71">
        <v>120329.569171619</v>
      </c>
      <c r="W129" s="71">
        <v>98876.9614413604</v>
      </c>
      <c r="X129" s="71">
        <v>733551.005198042</v>
      </c>
      <c r="Y129" s="71">
        <v>952757.535811022</v>
      </c>
    </row>
    <row r="130" spans="1:25" ht="18.75">
      <c r="A130" s="138"/>
      <c r="B130" s="138"/>
      <c r="C130" s="138"/>
      <c r="D130" s="141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T130" s="67"/>
      <c r="U130" s="67"/>
      <c r="V130" s="67"/>
      <c r="W130" s="67"/>
      <c r="X130" s="67"/>
      <c r="Y130" s="67"/>
    </row>
    <row r="131" spans="1:25" ht="18.75">
      <c r="A131" s="138"/>
      <c r="B131" s="138"/>
      <c r="C131" s="143" t="s">
        <v>457</v>
      </c>
      <c r="D131" s="141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T131" s="67"/>
      <c r="U131" s="67"/>
      <c r="V131" s="67"/>
      <c r="W131" s="67"/>
      <c r="X131" s="67"/>
      <c r="Y131" s="67"/>
    </row>
    <row r="132" spans="1:25" ht="18.75">
      <c r="A132" s="138"/>
      <c r="B132" s="138"/>
      <c r="C132" s="138" t="s">
        <v>41</v>
      </c>
      <c r="D132" s="141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T132" s="67"/>
      <c r="U132" s="67"/>
      <c r="V132" s="67"/>
      <c r="W132" s="67"/>
      <c r="X132" s="67"/>
      <c r="Y132" s="67"/>
    </row>
    <row r="133" spans="1:25" ht="18.75">
      <c r="A133" s="138"/>
      <c r="B133" s="138">
        <v>1</v>
      </c>
      <c r="C133" s="138" t="s">
        <v>84</v>
      </c>
      <c r="D133" s="137" t="s">
        <v>507</v>
      </c>
      <c r="E133" s="136">
        <f>'TISWADI '!D42</f>
        <v>0</v>
      </c>
      <c r="F133" s="136">
        <f>'TISWADI '!E42</f>
        <v>2143.071311398124</v>
      </c>
      <c r="G133" s="136">
        <f>'TISWADI '!F42</f>
        <v>2143.071311398124</v>
      </c>
      <c r="H133" s="136">
        <f>'TISWADI '!G42</f>
        <v>259.41160696654055</v>
      </c>
      <c r="I133" s="136">
        <f>'TISWADI '!H42</f>
        <v>242.97556862717974</v>
      </c>
      <c r="J133" s="136">
        <f>'TISWADI '!I42</f>
        <v>2645.4584869918444</v>
      </c>
      <c r="K133" s="136">
        <f>'TISWADI '!J42</f>
        <v>481549.67021595244</v>
      </c>
      <c r="L133" s="136">
        <f>'TISWADI '!K42</f>
        <v>15914.049930190442</v>
      </c>
      <c r="M133" s="136">
        <f>'TISWADI '!L42</f>
        <v>24305.09443883631</v>
      </c>
      <c r="N133" s="136">
        <f>'TISWADI '!M42</f>
        <v>35878.94893352027</v>
      </c>
      <c r="O133" s="136">
        <f>'TISWADI '!N42</f>
        <v>44</v>
      </c>
      <c r="P133" s="136">
        <f>'TISWADI '!O42</f>
        <v>274</v>
      </c>
      <c r="Q133" s="136">
        <f>'TISWADI '!P42</f>
        <v>572.6785714285714</v>
      </c>
      <c r="R133" s="136">
        <f>'TISWADI '!S42</f>
        <v>561183.9005769198</v>
      </c>
      <c r="T133" s="66">
        <v>0</v>
      </c>
      <c r="U133" s="66">
        <v>2407.66646587001</v>
      </c>
      <c r="V133" s="66">
        <v>2407.66646587001</v>
      </c>
      <c r="W133" s="66">
        <v>111687.629000831</v>
      </c>
      <c r="X133" s="66">
        <v>120880.060056237</v>
      </c>
      <c r="Y133" s="66">
        <v>234976.355522938</v>
      </c>
    </row>
    <row r="134" spans="1:25" ht="18.75">
      <c r="A134" s="138"/>
      <c r="B134" s="138">
        <v>2</v>
      </c>
      <c r="C134" s="138" t="s">
        <v>85</v>
      </c>
      <c r="D134" s="137" t="s">
        <v>508</v>
      </c>
      <c r="E134" s="136">
        <f>'TISWADI '!D43</f>
        <v>3065.2275814261625</v>
      </c>
      <c r="F134" s="136">
        <f>'TISWADI '!E43</f>
        <v>18426.883974857847</v>
      </c>
      <c r="G134" s="136">
        <f>'TISWADI '!F43</f>
        <v>21492.11155628401</v>
      </c>
      <c r="H134" s="136">
        <f>'TISWADI '!G43</f>
        <v>2230.5126095805626</v>
      </c>
      <c r="I134" s="136">
        <f>'TISWADI '!H43</f>
        <v>2089.1897474457837</v>
      </c>
      <c r="J134" s="136">
        <f>'TISWADI '!I43</f>
        <v>25811.813913310358</v>
      </c>
      <c r="K134" s="136">
        <f>'TISWADI '!J43</f>
        <v>5325.539447755952</v>
      </c>
      <c r="L134" s="136">
        <f>'TISWADI '!K43</f>
        <v>7177.989859043489</v>
      </c>
      <c r="M134" s="136">
        <f>'TISWADI '!L43</f>
        <v>10962.748148357328</v>
      </c>
      <c r="N134" s="136">
        <f>'TISWADI '!M43</f>
        <v>16183.104409479864</v>
      </c>
      <c r="O134" s="136">
        <f>'TISWADI '!N43</f>
        <v>44</v>
      </c>
      <c r="P134" s="136">
        <f>'TISWADI '!O43</f>
        <v>274</v>
      </c>
      <c r="Q134" s="136">
        <f>'TISWADI '!P43</f>
        <v>572.6785714285714</v>
      </c>
      <c r="R134" s="136">
        <f>'TISWADI '!S43</f>
        <v>66351.87434937556</v>
      </c>
      <c r="T134" s="66">
        <v>3331.33058778851</v>
      </c>
      <c r="U134" s="66">
        <v>20701.9665564926</v>
      </c>
      <c r="V134" s="66">
        <v>24033.2971442811</v>
      </c>
      <c r="W134" s="66">
        <v>1235.17242531496</v>
      </c>
      <c r="X134" s="66">
        <v>54522.6293150039</v>
      </c>
      <c r="Y134" s="66">
        <v>79791.0988846</v>
      </c>
    </row>
    <row r="135" spans="1:25" ht="18.75">
      <c r="A135" s="138"/>
      <c r="B135" s="138">
        <v>3</v>
      </c>
      <c r="C135" s="138" t="s">
        <v>86</v>
      </c>
      <c r="D135" s="137" t="s">
        <v>507</v>
      </c>
      <c r="E135" s="136">
        <f>'TISWADI '!D44</f>
        <v>0</v>
      </c>
      <c r="F135" s="136">
        <f>'TISWADI '!E44</f>
        <v>2150.9142073227326</v>
      </c>
      <c r="G135" s="136">
        <f>'TISWADI '!F44</f>
        <v>2150.9142073227326</v>
      </c>
      <c r="H135" s="136">
        <f>'TISWADI '!G44</f>
        <v>260.36096325919084</v>
      </c>
      <c r="I135" s="136">
        <f>'TISWADI '!H44</f>
        <v>263.86477473377556</v>
      </c>
      <c r="J135" s="136">
        <f>'TISWADI '!I44</f>
        <v>2675.139945315699</v>
      </c>
      <c r="K135" s="136">
        <f>'TISWADI '!J44</f>
        <v>393105.41400359944</v>
      </c>
      <c r="L135" s="136">
        <f>'TISWADI '!K44</f>
        <v>21646.894581256303</v>
      </c>
      <c r="M135" s="136">
        <f>'TISWADI '!L44</f>
        <v>33824.3480877369</v>
      </c>
      <c r="N135" s="136">
        <f>'TISWADI '!M44</f>
        <v>49931.18051046876</v>
      </c>
      <c r="O135" s="136">
        <f>'TISWADI '!N44</f>
        <v>44</v>
      </c>
      <c r="P135" s="136">
        <f>'TISWADI '!O44</f>
        <v>274</v>
      </c>
      <c r="Q135" s="136">
        <f>'TISWADI '!P44</f>
        <v>572.6785714285714</v>
      </c>
      <c r="R135" s="136">
        <f>'TISWADI '!S44</f>
        <v>502073.65569980576</v>
      </c>
      <c r="T135" s="66">
        <v>0</v>
      </c>
      <c r="U135" s="66">
        <v>2416.47768806899</v>
      </c>
      <c r="V135" s="66">
        <v>2416.47768806899</v>
      </c>
      <c r="W135" s="66">
        <v>91174.4194898166</v>
      </c>
      <c r="X135" s="66">
        <v>168223.548297575</v>
      </c>
      <c r="Y135" s="66">
        <v>261814.44547546</v>
      </c>
    </row>
    <row r="136" spans="1:25" ht="18.75">
      <c r="A136" s="138"/>
      <c r="B136" s="138">
        <v>4</v>
      </c>
      <c r="C136" s="138" t="s">
        <v>87</v>
      </c>
      <c r="D136" s="137" t="s">
        <v>507</v>
      </c>
      <c r="E136" s="136">
        <f>'TISWADI '!D45</f>
        <v>18001.87290235941</v>
      </c>
      <c r="F136" s="136">
        <f>'TISWADI '!E45</f>
        <v>7197.817734805601</v>
      </c>
      <c r="G136" s="136">
        <f>'TISWADI '!F45</f>
        <v>25199.69063716501</v>
      </c>
      <c r="H136" s="136">
        <f>'TISWADI '!G45</f>
        <v>871.2717375792968</v>
      </c>
      <c r="I136" s="136">
        <f>'TISWADI '!H45</f>
        <v>816.0689043278844</v>
      </c>
      <c r="J136" s="136">
        <f>'TISWADI '!I45</f>
        <v>26887.03127907219</v>
      </c>
      <c r="K136" s="136">
        <f>'TISWADI '!J45</f>
        <v>10633.806875681357</v>
      </c>
      <c r="L136" s="136">
        <f>'TISWADI '!K45</f>
        <v>6671.795013364794</v>
      </c>
      <c r="M136" s="136">
        <f>'TISWADI '!L45</f>
        <v>10189.650565866228</v>
      </c>
      <c r="N136" s="136">
        <f>'TISWADI '!M45</f>
        <v>15041.865121040624</v>
      </c>
      <c r="O136" s="136">
        <f>'TISWADI '!N45</f>
        <v>44</v>
      </c>
      <c r="P136" s="136">
        <f>'TISWADI '!O45</f>
        <v>274</v>
      </c>
      <c r="Q136" s="136">
        <f>'TISWADI '!P45</f>
        <v>572.6785714285714</v>
      </c>
      <c r="R136" s="136">
        <f>'TISWADI '!S45</f>
        <v>70314.82742645375</v>
      </c>
      <c r="T136" s="66">
        <v>19999.7882425707</v>
      </c>
      <c r="U136" s="66">
        <v>8086.49917310962</v>
      </c>
      <c r="V136" s="66">
        <v>28086.2874156803</v>
      </c>
      <c r="W136" s="66">
        <v>2466.33888600728</v>
      </c>
      <c r="X136" s="66">
        <v>50677.6707020667</v>
      </c>
      <c r="Y136" s="66">
        <v>81230.2970037544</v>
      </c>
    </row>
    <row r="137" spans="1:25" ht="18.75">
      <c r="A137" s="138"/>
      <c r="B137" s="138">
        <v>5</v>
      </c>
      <c r="C137" s="138" t="s">
        <v>88</v>
      </c>
      <c r="D137" s="137" t="s">
        <v>507</v>
      </c>
      <c r="E137" s="136">
        <f>'TISWADI '!D46</f>
        <v>0</v>
      </c>
      <c r="F137" s="136">
        <f>'TISWADI '!E46</f>
        <v>845.0720358761147</v>
      </c>
      <c r="G137" s="136">
        <f>'TISWADI '!F46</f>
        <v>845.0720358761147</v>
      </c>
      <c r="H137" s="136">
        <f>'TISWADI '!G46</f>
        <v>102.29314053300934</v>
      </c>
      <c r="I137" s="136">
        <f>'TISWADI '!H46</f>
        <v>95.8119579856493</v>
      </c>
      <c r="J137" s="136">
        <f>'TISWADI '!I46</f>
        <v>1043.1771343947732</v>
      </c>
      <c r="K137" s="136">
        <f>'TISWADI '!J46</f>
        <v>35309.76587360795</v>
      </c>
      <c r="L137" s="136">
        <f>'TISWADI '!K46</f>
        <v>8714.749459293398</v>
      </c>
      <c r="M137" s="136">
        <f>'TISWADI '!L46</f>
        <v>13309.799174193553</v>
      </c>
      <c r="N137" s="136">
        <f>'TISWADI '!M46</f>
        <v>19647.79878095239</v>
      </c>
      <c r="O137" s="136">
        <f>'TISWADI '!N46</f>
        <v>44</v>
      </c>
      <c r="P137" s="136">
        <f>'TISWADI '!O46</f>
        <v>274</v>
      </c>
      <c r="Q137" s="136">
        <f>'TISWADI '!P46</f>
        <v>572.6785714285714</v>
      </c>
      <c r="R137" s="136">
        <f>'TISWADI '!S46</f>
        <v>78915.96899387063</v>
      </c>
      <c r="T137" s="66">
        <v>0</v>
      </c>
      <c r="U137" s="66">
        <v>949.409191939594</v>
      </c>
      <c r="V137" s="66">
        <v>949.409191939594</v>
      </c>
      <c r="W137" s="66">
        <v>8189.52701022343</v>
      </c>
      <c r="X137" s="66">
        <v>66195.5594355634</v>
      </c>
      <c r="Y137" s="66">
        <v>75335.4956377264</v>
      </c>
    </row>
    <row r="138" spans="1:25" ht="18.75">
      <c r="A138" s="138"/>
      <c r="B138" s="138">
        <v>6</v>
      </c>
      <c r="C138" s="138" t="s">
        <v>89</v>
      </c>
      <c r="D138" s="137" t="s">
        <v>507</v>
      </c>
      <c r="E138" s="136">
        <f>'TISWADI '!D47</f>
        <v>0</v>
      </c>
      <c r="F138" s="136">
        <f>'TISWADI '!E47</f>
        <v>1427.4070582779816</v>
      </c>
      <c r="G138" s="136">
        <f>'TISWADI '!F47</f>
        <v>1427.4070582779816</v>
      </c>
      <c r="H138" s="136">
        <f>'TISWADI '!G47</f>
        <v>172.78284526225204</v>
      </c>
      <c r="I138" s="136">
        <f>'TISWADI '!H47</f>
        <v>161.83551140035388</v>
      </c>
      <c r="J138" s="136">
        <f>'TISWADI '!I47</f>
        <v>1762.0254149405876</v>
      </c>
      <c r="K138" s="136">
        <f>'TISWADI '!J47</f>
        <v>56594.65164480151</v>
      </c>
      <c r="L138" s="136">
        <f>'TISWADI '!K47</f>
        <v>7407.691721788453</v>
      </c>
      <c r="M138" s="136">
        <f>'TISWADI '!L47</f>
        <v>11313.565538731453</v>
      </c>
      <c r="N138" s="136">
        <f>'TISWADI '!M47</f>
        <v>16700.97770003215</v>
      </c>
      <c r="O138" s="136">
        <f>'TISWADI '!N47</f>
        <v>44</v>
      </c>
      <c r="P138" s="136">
        <f>'TISWADI '!O47</f>
        <v>274</v>
      </c>
      <c r="Q138" s="136">
        <f>'TISWADI '!P47</f>
        <v>572.6785714285714</v>
      </c>
      <c r="R138" s="136">
        <f>'TISWADI '!S47</f>
        <v>94669.5905917227</v>
      </c>
      <c r="T138" s="66">
        <v>0</v>
      </c>
      <c r="U138" s="66">
        <v>1603.64244021351</v>
      </c>
      <c r="V138" s="66">
        <v>1603.64244021351</v>
      </c>
      <c r="W138" s="66">
        <v>13126.2107468607</v>
      </c>
      <c r="X138" s="66">
        <v>56267.4004502864</v>
      </c>
      <c r="Y138" s="66">
        <v>70997.2536373606</v>
      </c>
    </row>
    <row r="139" spans="1:25" ht="18.75">
      <c r="A139" s="138"/>
      <c r="B139" s="138">
        <v>7</v>
      </c>
      <c r="C139" s="138" t="s">
        <v>67</v>
      </c>
      <c r="D139" s="137" t="s">
        <v>507</v>
      </c>
      <c r="E139" s="136">
        <f>'TISWADI '!D48</f>
        <v>0</v>
      </c>
      <c r="F139" s="136">
        <f>'TISWADI '!E48</f>
        <v>0</v>
      </c>
      <c r="G139" s="136">
        <f>'TISWADI '!F48</f>
        <v>0</v>
      </c>
      <c r="H139" s="136">
        <f>'TISWADI '!G48</f>
        <v>0</v>
      </c>
      <c r="I139" s="136">
        <f>'TISWADI '!H48</f>
        <v>0</v>
      </c>
      <c r="J139" s="136">
        <f>'TISWADI '!I48</f>
        <v>0</v>
      </c>
      <c r="K139" s="136">
        <f>'TISWADI '!J48</f>
        <v>522.8832764606358</v>
      </c>
      <c r="L139" s="136">
        <f>'TISWADI '!K48</f>
        <v>399.62975811919983</v>
      </c>
      <c r="M139" s="136">
        <f>'TISWADI '!L48</f>
        <v>610.3436305820507</v>
      </c>
      <c r="N139" s="136">
        <f>'TISWADI '!M48</f>
        <v>900.9834546687415</v>
      </c>
      <c r="O139" s="136">
        <f>'TISWADI '!N48</f>
        <v>44</v>
      </c>
      <c r="P139" s="136">
        <f>'TISWADI '!O48</f>
        <v>274</v>
      </c>
      <c r="Q139" s="136">
        <f>'TISWADI '!P48</f>
        <v>572.6785714285714</v>
      </c>
      <c r="R139" s="136">
        <f>'TISWADI '!S48</f>
        <v>3324.5186912591994</v>
      </c>
      <c r="T139" s="66">
        <v>0</v>
      </c>
      <c r="U139" s="66">
        <v>0</v>
      </c>
      <c r="V139" s="66">
        <v>0</v>
      </c>
      <c r="W139" s="66">
        <v>121.274288</v>
      </c>
      <c r="X139" s="66">
        <v>3035.51072</v>
      </c>
      <c r="Y139" s="66">
        <v>3156.785008</v>
      </c>
    </row>
    <row r="140" spans="1:25" ht="18.75">
      <c r="A140" s="138"/>
      <c r="B140" s="138">
        <v>8</v>
      </c>
      <c r="C140" s="138" t="s">
        <v>90</v>
      </c>
      <c r="D140" s="137" t="s">
        <v>508</v>
      </c>
      <c r="E140" s="136">
        <f>'TISWADI '!D49</f>
        <v>0</v>
      </c>
      <c r="F140" s="136">
        <f>'TISWADI '!E49</f>
        <v>0</v>
      </c>
      <c r="G140" s="136">
        <f>'TISWADI '!F49</f>
        <v>0</v>
      </c>
      <c r="H140" s="136">
        <f>'TISWADI '!G49</f>
        <v>0</v>
      </c>
      <c r="I140" s="136">
        <f>'TISWADI '!H49</f>
        <v>0</v>
      </c>
      <c r="J140" s="136">
        <f>'TISWADI '!I49</f>
        <v>0</v>
      </c>
      <c r="K140" s="136">
        <f>'TISWADI '!J49</f>
        <v>522.8832764606358</v>
      </c>
      <c r="L140" s="136">
        <f>'TISWADI '!K49</f>
        <v>199.81487905959992</v>
      </c>
      <c r="M140" s="136">
        <f>'TISWADI '!L49</f>
        <v>305.1718152910253</v>
      </c>
      <c r="N140" s="136">
        <f>'TISWADI '!M49</f>
        <v>450.49172733437075</v>
      </c>
      <c r="O140" s="136">
        <f>'TISWADI '!N49</f>
        <v>44</v>
      </c>
      <c r="P140" s="136">
        <f>'TISWADI '!O49</f>
        <v>274</v>
      </c>
      <c r="Q140" s="136">
        <f>'TISWADI '!P49</f>
        <v>572.6785714285714</v>
      </c>
      <c r="R140" s="136">
        <f>'TISWADI '!S49</f>
        <v>2369.040269574203</v>
      </c>
      <c r="T140" s="66">
        <v>0</v>
      </c>
      <c r="U140" s="66">
        <v>0</v>
      </c>
      <c r="V140" s="66">
        <v>0</v>
      </c>
      <c r="W140" s="66">
        <v>121.274288</v>
      </c>
      <c r="X140" s="66">
        <v>1517.75536</v>
      </c>
      <c r="Y140" s="66">
        <v>1639.029648</v>
      </c>
    </row>
    <row r="141" spans="1:25" ht="18.75">
      <c r="A141" s="138"/>
      <c r="B141" s="138">
        <v>9</v>
      </c>
      <c r="C141" s="138" t="s">
        <v>60</v>
      </c>
      <c r="D141" s="137" t="s">
        <v>507</v>
      </c>
      <c r="E141" s="136">
        <f>'TISWADI '!D50</f>
        <v>640.8742099786992</v>
      </c>
      <c r="F141" s="136">
        <f>'TISWADI '!E50</f>
        <v>0</v>
      </c>
      <c r="G141" s="136">
        <f>'TISWADI '!F50</f>
        <v>640.8742099786992</v>
      </c>
      <c r="H141" s="136">
        <f>'TISWADI '!G50</f>
        <v>0</v>
      </c>
      <c r="I141" s="136">
        <f>'TISWADI '!H50</f>
        <v>0</v>
      </c>
      <c r="J141" s="136">
        <f>'TISWADI '!I50</f>
        <v>640.8742099786992</v>
      </c>
      <c r="K141" s="136">
        <f>'TISWADI '!J50</f>
        <v>86.23151454175279</v>
      </c>
      <c r="L141" s="136">
        <f>'TISWADI '!K50</f>
        <v>263.3031440055002</v>
      </c>
      <c r="M141" s="136">
        <f>'TISWADI '!L50</f>
        <v>402.1357108447639</v>
      </c>
      <c r="N141" s="136">
        <f>'TISWADI '!M50</f>
        <v>593.6289064851277</v>
      </c>
      <c r="O141" s="136">
        <f>'TISWADI '!N50</f>
        <v>44</v>
      </c>
      <c r="P141" s="136">
        <f>'TISWADI '!O50</f>
        <v>274</v>
      </c>
      <c r="Q141" s="136">
        <f>'TISWADI '!P50</f>
        <v>572.6785714285714</v>
      </c>
      <c r="R141" s="136">
        <f>'TISWADI '!S50</f>
        <v>2876.8520572844154</v>
      </c>
      <c r="T141" s="66">
        <v>720</v>
      </c>
      <c r="U141" s="66">
        <v>0</v>
      </c>
      <c r="V141" s="66">
        <v>720</v>
      </c>
      <c r="W141" s="66">
        <v>20</v>
      </c>
      <c r="X141" s="66">
        <v>2000</v>
      </c>
      <c r="Y141" s="66">
        <v>2740</v>
      </c>
    </row>
    <row r="142" spans="1:25" ht="18.75">
      <c r="A142" s="138"/>
      <c r="B142" s="138">
        <v>10</v>
      </c>
      <c r="C142" s="138" t="s">
        <v>91</v>
      </c>
      <c r="D142" s="137" t="s">
        <v>507</v>
      </c>
      <c r="E142" s="136">
        <f>'TISWADI '!D51</f>
        <v>0</v>
      </c>
      <c r="F142" s="136">
        <f>'TISWADI '!E51</f>
        <v>0</v>
      </c>
      <c r="G142" s="136">
        <f>'TISWADI '!F51</f>
        <v>0</v>
      </c>
      <c r="H142" s="136">
        <f>'TISWADI '!G51</f>
        <v>0</v>
      </c>
      <c r="I142" s="136">
        <f>'TISWADI '!H51</f>
        <v>0</v>
      </c>
      <c r="J142" s="136">
        <f>'TISWADI '!I51</f>
        <v>0</v>
      </c>
      <c r="K142" s="136">
        <f>'TISWADI '!J51</f>
        <v>0</v>
      </c>
      <c r="L142" s="136">
        <f>'TISWADI '!K51</f>
        <v>0</v>
      </c>
      <c r="M142" s="136">
        <f>'TISWADI '!L51</f>
        <v>0</v>
      </c>
      <c r="N142" s="136">
        <f>'TISWADI '!M51</f>
        <v>0</v>
      </c>
      <c r="O142" s="136">
        <f>'TISWADI '!N51</f>
        <v>44</v>
      </c>
      <c r="P142" s="136">
        <f>'TISWADI '!O51</f>
        <v>274</v>
      </c>
      <c r="Q142" s="136">
        <f>'TISWADI '!P51</f>
        <v>572.6785714285714</v>
      </c>
      <c r="R142" s="136">
        <f>'TISWADI '!S51</f>
        <v>890.6785714285714</v>
      </c>
      <c r="T142" s="66">
        <v>0</v>
      </c>
      <c r="U142" s="66">
        <v>0</v>
      </c>
      <c r="V142" s="66">
        <v>0</v>
      </c>
      <c r="W142" s="66">
        <v>0</v>
      </c>
      <c r="X142" s="66">
        <v>0</v>
      </c>
      <c r="Y142" s="66">
        <v>0</v>
      </c>
    </row>
    <row r="143" spans="1:25" ht="18.75">
      <c r="A143" s="138"/>
      <c r="B143" s="138">
        <v>11</v>
      </c>
      <c r="C143" s="138" t="s">
        <v>92</v>
      </c>
      <c r="D143" s="137" t="s">
        <v>508</v>
      </c>
      <c r="E143" s="136">
        <f>'TISWADI '!D52</f>
        <v>0</v>
      </c>
      <c r="F143" s="136">
        <f>'TISWADI '!E52</f>
        <v>0</v>
      </c>
      <c r="G143" s="136">
        <f>'TISWADI '!F52</f>
        <v>0</v>
      </c>
      <c r="H143" s="136">
        <f>'TISWADI '!G52</f>
        <v>0</v>
      </c>
      <c r="I143" s="136">
        <f>'TISWADI '!H52</f>
        <v>0</v>
      </c>
      <c r="J143" s="136">
        <f>'TISWADI '!I52</f>
        <v>0</v>
      </c>
      <c r="K143" s="136">
        <f>'TISWADI '!J52</f>
        <v>522.8832764606358</v>
      </c>
      <c r="L143" s="136">
        <f>'TISWADI '!K52</f>
        <v>199.81487905959992</v>
      </c>
      <c r="M143" s="136">
        <f>'TISWADI '!L52</f>
        <v>305.1718152910253</v>
      </c>
      <c r="N143" s="136">
        <f>'TISWADI '!M52</f>
        <v>450.49172733437075</v>
      </c>
      <c r="O143" s="136">
        <f>'TISWADI '!N52</f>
        <v>44</v>
      </c>
      <c r="P143" s="136">
        <f>'TISWADI '!O52</f>
        <v>274</v>
      </c>
      <c r="Q143" s="136">
        <f>'TISWADI '!P52</f>
        <v>572.6785714285714</v>
      </c>
      <c r="R143" s="136">
        <f>'TISWADI '!S52</f>
        <v>2369.040269574203</v>
      </c>
      <c r="T143" s="66">
        <v>0</v>
      </c>
      <c r="U143" s="66">
        <v>0</v>
      </c>
      <c r="V143" s="66">
        <v>0</v>
      </c>
      <c r="W143" s="66">
        <v>121.274288</v>
      </c>
      <c r="X143" s="66">
        <v>1517.75536</v>
      </c>
      <c r="Y143" s="66">
        <v>1639.029648</v>
      </c>
    </row>
    <row r="144" spans="1:25" ht="18.75">
      <c r="A144" s="138">
        <v>11</v>
      </c>
      <c r="B144" s="138"/>
      <c r="C144" s="138" t="s">
        <v>78</v>
      </c>
      <c r="D144" s="137"/>
      <c r="E144" s="136">
        <f aca="true" t="shared" si="8" ref="E144:R144">SUM(E133:E143)</f>
        <v>21707.97469376427</v>
      </c>
      <c r="F144" s="136">
        <f t="shared" si="8"/>
        <v>32191.166322538404</v>
      </c>
      <c r="G144" s="136">
        <f t="shared" si="8"/>
        <v>53899.14101630268</v>
      </c>
      <c r="H144" s="136">
        <f t="shared" si="8"/>
        <v>3896.632903180852</v>
      </c>
      <c r="I144" s="136">
        <f t="shared" si="8"/>
        <v>3669.7464645206264</v>
      </c>
      <c r="J144" s="136">
        <f t="shared" si="8"/>
        <v>61465.52038400415</v>
      </c>
      <c r="K144" s="136">
        <f t="shared" si="8"/>
        <v>984173.7294053226</v>
      </c>
      <c r="L144" s="136">
        <f t="shared" si="8"/>
        <v>68595.73322518078</v>
      </c>
      <c r="M144" s="136">
        <f t="shared" si="8"/>
        <v>105528.02892573064</v>
      </c>
      <c r="N144" s="136">
        <f t="shared" si="8"/>
        <v>155779.47127131667</v>
      </c>
      <c r="O144" s="136">
        <f t="shared" si="8"/>
        <v>484</v>
      </c>
      <c r="P144" s="136">
        <f t="shared" si="8"/>
        <v>3014</v>
      </c>
      <c r="Q144" s="136">
        <f t="shared" si="8"/>
        <v>6299.464285714286</v>
      </c>
      <c r="R144" s="136">
        <f t="shared" si="8"/>
        <v>1385339.9474972687</v>
      </c>
      <c r="T144" s="66">
        <v>24051.1188303592</v>
      </c>
      <c r="U144" s="66">
        <v>36164.6615156943</v>
      </c>
      <c r="V144" s="66">
        <v>60215.7803460535</v>
      </c>
      <c r="W144" s="66">
        <v>228262.120423054</v>
      </c>
      <c r="X144" s="66">
        <v>524839.889696732</v>
      </c>
      <c r="Y144" s="66">
        <v>813317.790465839</v>
      </c>
    </row>
    <row r="145" spans="1:25" ht="18.75">
      <c r="A145" s="138"/>
      <c r="B145" s="138"/>
      <c r="C145" s="138"/>
      <c r="D145" s="141"/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  <c r="R145" s="138"/>
      <c r="T145" s="67"/>
      <c r="U145" s="67"/>
      <c r="V145" s="67"/>
      <c r="W145" s="67"/>
      <c r="X145" s="67"/>
      <c r="Y145" s="67"/>
    </row>
    <row r="146" spans="1:25" ht="18.75">
      <c r="A146" s="138"/>
      <c r="B146" s="138"/>
      <c r="C146" s="138" t="s">
        <v>42</v>
      </c>
      <c r="D146" s="141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T146" s="67"/>
      <c r="U146" s="67"/>
      <c r="V146" s="67"/>
      <c r="W146" s="67"/>
      <c r="X146" s="67"/>
      <c r="Y146" s="67"/>
    </row>
    <row r="147" spans="1:25" ht="18.75">
      <c r="A147" s="138"/>
      <c r="B147" s="138">
        <v>12</v>
      </c>
      <c r="C147" s="138" t="s">
        <v>229</v>
      </c>
      <c r="D147" s="137" t="s">
        <v>507</v>
      </c>
      <c r="E147" s="136">
        <f>BARDEZ!D38</f>
        <v>9324.038287861113</v>
      </c>
      <c r="F147" s="136">
        <f>BARDEZ!E38</f>
        <v>34034.24686482039</v>
      </c>
      <c r="G147" s="136">
        <f>BARDEZ!F38</f>
        <v>43358.2851526815</v>
      </c>
      <c r="H147" s="136">
        <f>BARDEZ!G38</f>
        <v>4119.7316319535375</v>
      </c>
      <c r="I147" s="136">
        <f>BARDEZ!H38</f>
        <v>3858.7098995705314</v>
      </c>
      <c r="J147" s="136">
        <f>BARDEZ!I38</f>
        <v>51336.72668420557</v>
      </c>
      <c r="K147" s="136">
        <f>BARDEZ!J38</f>
        <v>476586.84318464017</v>
      </c>
      <c r="L147" s="136">
        <f>BARDEZ!K38</f>
        <v>26306.277132914052</v>
      </c>
      <c r="M147" s="136">
        <f>BARDEZ!L38</f>
        <v>40176.85962117782</v>
      </c>
      <c r="N147" s="136">
        <f>BARDEZ!M38</f>
        <v>59308.6975360244</v>
      </c>
      <c r="O147" s="136">
        <f>BARDEZ!N38</f>
        <v>39.2375</v>
      </c>
      <c r="P147" s="136">
        <f>BARDEZ!O38</f>
        <v>242.5</v>
      </c>
      <c r="Q147" s="136">
        <f>BARDEZ!P38</f>
        <v>501.09375</v>
      </c>
      <c r="R147" s="136">
        <f>BARDEZ!R38</f>
        <v>654498.235408962</v>
      </c>
      <c r="T147" s="66">
        <v>10359.3941212854</v>
      </c>
      <c r="U147" s="66">
        <v>38236.2987324535</v>
      </c>
      <c r="V147" s="66">
        <v>48594.6928537388</v>
      </c>
      <c r="W147" s="66">
        <v>110536.581832592</v>
      </c>
      <c r="X147" s="66">
        <v>199817.417541847</v>
      </c>
      <c r="Y147" s="66">
        <v>358948.692228178</v>
      </c>
    </row>
    <row r="148" spans="1:25" ht="18.75">
      <c r="A148" s="138"/>
      <c r="B148" s="138">
        <v>13</v>
      </c>
      <c r="C148" s="138" t="s">
        <v>230</v>
      </c>
      <c r="D148" s="137" t="s">
        <v>508</v>
      </c>
      <c r="E148" s="136">
        <f>BARDEZ!D39</f>
        <v>9324.038287861113</v>
      </c>
      <c r="F148" s="136">
        <f>BARDEZ!E39</f>
        <v>11634.936104150556</v>
      </c>
      <c r="G148" s="136">
        <f>BARDEZ!F39</f>
        <v>20958.974392011667</v>
      </c>
      <c r="H148" s="136">
        <f>BARDEZ!G39</f>
        <v>1408.3700601458945</v>
      </c>
      <c r="I148" s="136">
        <f>BARDEZ!H39</f>
        <v>1319.1372591342129</v>
      </c>
      <c r="J148" s="136">
        <f>BARDEZ!I39</f>
        <v>23686.481711291774</v>
      </c>
      <c r="K148" s="136">
        <f>BARDEZ!J39</f>
        <v>0</v>
      </c>
      <c r="L148" s="136">
        <f>BARDEZ!K39</f>
        <v>2346.51667194677</v>
      </c>
      <c r="M148" s="136">
        <f>BARDEZ!L39</f>
        <v>3583.7709171550673</v>
      </c>
      <c r="N148" s="136">
        <f>BARDEZ!M39</f>
        <v>5290.328496752719</v>
      </c>
      <c r="O148" s="136">
        <f>BARDEZ!N39</f>
        <v>39.2375</v>
      </c>
      <c r="P148" s="136">
        <f>BARDEZ!O39</f>
        <v>242.5</v>
      </c>
      <c r="Q148" s="136">
        <f>BARDEZ!P39</f>
        <v>501.09375</v>
      </c>
      <c r="R148" s="136">
        <f>BARDEZ!R39</f>
        <v>35689.92904714633</v>
      </c>
      <c r="T148" s="66">
        <v>10359.3941212854</v>
      </c>
      <c r="U148" s="66">
        <v>13071.44813218</v>
      </c>
      <c r="V148" s="66">
        <v>23429.8422534654</v>
      </c>
      <c r="W148" s="66">
        <v>0</v>
      </c>
      <c r="X148" s="66">
        <v>17823.6889712016</v>
      </c>
      <c r="Y148" s="66">
        <v>41253.5312246669</v>
      </c>
    </row>
    <row r="149" spans="1:25" ht="18.75">
      <c r="A149" s="138"/>
      <c r="B149" s="138">
        <v>14</v>
      </c>
      <c r="C149" s="138" t="s">
        <v>231</v>
      </c>
      <c r="D149" s="137" t="s">
        <v>508</v>
      </c>
      <c r="E149" s="136">
        <f>BARDEZ!D40</f>
        <v>9324.038287861113</v>
      </c>
      <c r="F149" s="136">
        <f>BARDEZ!E40</f>
        <v>21303.266055206466</v>
      </c>
      <c r="G149" s="136">
        <f>BARDEZ!F40</f>
        <v>30627.30434306758</v>
      </c>
      <c r="H149" s="136">
        <f>BARDEZ!G40</f>
        <v>2578.6890299098527</v>
      </c>
      <c r="I149" s="136">
        <f>BARDEZ!H40</f>
        <v>2415.306087039628</v>
      </c>
      <c r="J149" s="136">
        <f>BARDEZ!I40</f>
        <v>35621.29946001706</v>
      </c>
      <c r="K149" s="136">
        <f>BARDEZ!J40</f>
        <v>13201.580490491286</v>
      </c>
      <c r="L149" s="136">
        <f>BARDEZ!K40</f>
        <v>1143.0954651078837</v>
      </c>
      <c r="M149" s="136">
        <f>BARDEZ!L40</f>
        <v>1745.8185285284042</v>
      </c>
      <c r="N149" s="136">
        <f>BARDEZ!M40</f>
        <v>2577.1606849705017</v>
      </c>
      <c r="O149" s="136">
        <f>BARDEZ!N40</f>
        <v>39.2375</v>
      </c>
      <c r="P149" s="136">
        <f>BARDEZ!O40</f>
        <v>242.5</v>
      </c>
      <c r="Q149" s="136">
        <f>BARDEZ!P40</f>
        <v>501.09375</v>
      </c>
      <c r="R149" s="136">
        <f>BARDEZ!R40</f>
        <v>55071.78587911514</v>
      </c>
      <c r="T149" s="66">
        <v>10359.3941212854</v>
      </c>
      <c r="U149" s="66">
        <v>23933.4822979668</v>
      </c>
      <c r="V149" s="66">
        <v>34291.8764192522</v>
      </c>
      <c r="W149" s="66">
        <v>3061.89229324023</v>
      </c>
      <c r="X149" s="66">
        <v>8682.73312440208</v>
      </c>
      <c r="Y149" s="66">
        <v>46036.5018368945</v>
      </c>
    </row>
    <row r="150" spans="1:25" ht="18.75">
      <c r="A150" s="138"/>
      <c r="B150" s="138">
        <v>15</v>
      </c>
      <c r="C150" s="138" t="s">
        <v>232</v>
      </c>
      <c r="D150" s="137" t="s">
        <v>507</v>
      </c>
      <c r="E150" s="136">
        <f>BARDEZ!D41</f>
        <v>0</v>
      </c>
      <c r="F150" s="136">
        <f>BARDEZ!E41</f>
        <v>3278.3304964846056</v>
      </c>
      <c r="G150" s="136">
        <f>BARDEZ!F41</f>
        <v>3278.3304964846056</v>
      </c>
      <c r="H150" s="136">
        <f>BARDEZ!G41</f>
        <v>396.83093032759115</v>
      </c>
      <c r="I150" s="136">
        <f>BARDEZ!H41</f>
        <v>371.6881525568579</v>
      </c>
      <c r="J150" s="136">
        <f>BARDEZ!I41</f>
        <v>4046.8495793690545</v>
      </c>
      <c r="K150" s="136">
        <f>BARDEZ!J41</f>
        <v>60999.016701593864</v>
      </c>
      <c r="L150" s="136">
        <f>BARDEZ!K41</f>
        <v>13876.467412020053</v>
      </c>
      <c r="M150" s="136">
        <f>BARDEZ!L41</f>
        <v>21193.150229266983</v>
      </c>
      <c r="N150" s="136">
        <f>BARDEZ!M41</f>
        <v>31285.126528917932</v>
      </c>
      <c r="O150" s="136">
        <f>BARDEZ!N41</f>
        <v>39.2375</v>
      </c>
      <c r="P150" s="136">
        <f>BARDEZ!O41</f>
        <v>242.5</v>
      </c>
      <c r="Q150" s="136">
        <f>BARDEZ!P41</f>
        <v>501.09375</v>
      </c>
      <c r="R150" s="136">
        <f>BARDEZ!R41</f>
        <v>132183.44170116787</v>
      </c>
      <c r="T150" s="66">
        <v>0</v>
      </c>
      <c r="U150" s="66">
        <v>3683.0908791717</v>
      </c>
      <c r="V150" s="66">
        <v>3683.0908791717</v>
      </c>
      <c r="W150" s="66">
        <v>14147.7317256346</v>
      </c>
      <c r="X150" s="66">
        <v>105402.975451977</v>
      </c>
      <c r="Y150" s="66">
        <v>123233.798056783</v>
      </c>
    </row>
    <row r="151" spans="1:25" ht="18.75">
      <c r="A151" s="138"/>
      <c r="B151" s="138">
        <v>16</v>
      </c>
      <c r="C151" s="138" t="s">
        <v>233</v>
      </c>
      <c r="D151" s="137" t="s">
        <v>508</v>
      </c>
      <c r="E151" s="136">
        <f>BARDEZ!D42</f>
        <v>18648.076575722134</v>
      </c>
      <c r="F151" s="136">
        <f>BARDEZ!E42</f>
        <v>51788.60251414344</v>
      </c>
      <c r="G151" s="136">
        <f>BARDEZ!F42</f>
        <v>70436.67908986557</v>
      </c>
      <c r="H151" s="136">
        <f>BARDEZ!G42</f>
        <v>6268.8369394393885</v>
      </c>
      <c r="I151" s="136">
        <f>BARDEZ!H42</f>
        <v>5871.6502233757665</v>
      </c>
      <c r="J151" s="136">
        <f>BARDEZ!I42</f>
        <v>82577.16625268073</v>
      </c>
      <c r="K151" s="136">
        <f>BARDEZ!J42</f>
        <v>34975.84015688379</v>
      </c>
      <c r="L151" s="136">
        <f>BARDEZ!K42</f>
        <v>12340.867922188068</v>
      </c>
      <c r="M151" s="136">
        <f>BARDEZ!L42</f>
        <v>18847.87100843269</v>
      </c>
      <c r="N151" s="136">
        <f>BARDEZ!M42</f>
        <v>27823.04767911492</v>
      </c>
      <c r="O151" s="136">
        <f>BARDEZ!N42</f>
        <v>39.2375</v>
      </c>
      <c r="P151" s="136">
        <f>BARDEZ!O42</f>
        <v>242.5</v>
      </c>
      <c r="Q151" s="136">
        <f>BARDEZ!P42</f>
        <v>501.09375</v>
      </c>
      <c r="R151" s="136">
        <f>BARDEZ!R42</f>
        <v>177347.6242693002</v>
      </c>
      <c r="T151" s="66">
        <v>20718.7882425707</v>
      </c>
      <c r="U151" s="66">
        <v>58182.702985384</v>
      </c>
      <c r="V151" s="66">
        <v>78902.4912279547</v>
      </c>
      <c r="W151" s="66">
        <v>8112.07836085233</v>
      </c>
      <c r="X151" s="66">
        <v>93738.8573068484</v>
      </c>
      <c r="Y151" s="66">
        <v>180753.426895655</v>
      </c>
    </row>
    <row r="152" spans="1:25" ht="18.75">
      <c r="A152" s="138"/>
      <c r="B152" s="138">
        <v>17</v>
      </c>
      <c r="C152" s="138" t="s">
        <v>234</v>
      </c>
      <c r="D152" s="137" t="s">
        <v>508</v>
      </c>
      <c r="E152" s="136">
        <f>BARDEZ!D43</f>
        <v>0</v>
      </c>
      <c r="F152" s="136">
        <f>BARDEZ!E43</f>
        <v>0</v>
      </c>
      <c r="G152" s="136">
        <f>BARDEZ!F43</f>
        <v>0</v>
      </c>
      <c r="H152" s="136">
        <f>BARDEZ!G43</f>
        <v>0</v>
      </c>
      <c r="I152" s="136">
        <f>BARDEZ!H43</f>
        <v>0</v>
      </c>
      <c r="J152" s="136">
        <f>BARDEZ!I43</f>
        <v>0</v>
      </c>
      <c r="K152" s="136">
        <f>BARDEZ!J43</f>
        <v>0</v>
      </c>
      <c r="L152" s="136">
        <f>BARDEZ!K43</f>
        <v>2268.7892739472145</v>
      </c>
      <c r="M152" s="136">
        <f>BARDEZ!L43</f>
        <v>3465.0599820284724</v>
      </c>
      <c r="N152" s="136">
        <f>BARDEZ!M43</f>
        <v>5115.088544899175</v>
      </c>
      <c r="O152" s="136">
        <f>BARDEZ!N43</f>
        <v>39.2375</v>
      </c>
      <c r="P152" s="136">
        <f>BARDEZ!O43</f>
        <v>242.5</v>
      </c>
      <c r="Q152" s="136">
        <f>BARDEZ!P43</f>
        <v>501.09375</v>
      </c>
      <c r="R152" s="136">
        <f>BARDEZ!R43</f>
        <v>11631.76905087486</v>
      </c>
      <c r="T152" s="66">
        <v>0</v>
      </c>
      <c r="U152" s="66">
        <v>0</v>
      </c>
      <c r="V152" s="66">
        <v>0</v>
      </c>
      <c r="W152" s="66">
        <v>0</v>
      </c>
      <c r="X152" s="66">
        <v>17233.2866173434</v>
      </c>
      <c r="Y152" s="66">
        <v>17233.2866173434</v>
      </c>
    </row>
    <row r="153" spans="1:25" ht="18.75">
      <c r="A153" s="138"/>
      <c r="B153" s="138">
        <v>18</v>
      </c>
      <c r="C153" s="138" t="s">
        <v>235</v>
      </c>
      <c r="D153" s="137" t="s">
        <v>507</v>
      </c>
      <c r="E153" s="136">
        <f>BARDEZ!D44</f>
        <v>0</v>
      </c>
      <c r="F153" s="136">
        <f>BARDEZ!E44</f>
        <v>0</v>
      </c>
      <c r="G153" s="136">
        <f>BARDEZ!F44</f>
        <v>0</v>
      </c>
      <c r="H153" s="136">
        <f>BARDEZ!G44</f>
        <v>0</v>
      </c>
      <c r="I153" s="136">
        <f>BARDEZ!H44</f>
        <v>0</v>
      </c>
      <c r="J153" s="136">
        <f>BARDEZ!I44</f>
        <v>0</v>
      </c>
      <c r="K153" s="136">
        <f>BARDEZ!J44</f>
        <v>522.8832764606358</v>
      </c>
      <c r="L153" s="136">
        <f>BARDEZ!K44</f>
        <v>199.81487905959992</v>
      </c>
      <c r="M153" s="136">
        <f>BARDEZ!L44</f>
        <v>305.1718152910253</v>
      </c>
      <c r="N153" s="136">
        <f>BARDEZ!M44</f>
        <v>450.49172733437075</v>
      </c>
      <c r="O153" s="136">
        <f>BARDEZ!N44</f>
        <v>39.2375</v>
      </c>
      <c r="P153" s="136">
        <f>BARDEZ!O44</f>
        <v>242.5</v>
      </c>
      <c r="Q153" s="136">
        <f>BARDEZ!P44</f>
        <v>501.09375</v>
      </c>
      <c r="R153" s="136">
        <f>BARDEZ!R44</f>
        <v>2261.192948145632</v>
      </c>
      <c r="T153" s="66">
        <v>0</v>
      </c>
      <c r="U153" s="66">
        <v>0</v>
      </c>
      <c r="V153" s="66">
        <v>0</v>
      </c>
      <c r="W153" s="66">
        <v>121.274288</v>
      </c>
      <c r="X153" s="66">
        <v>1517.75536</v>
      </c>
      <c r="Y153" s="66">
        <v>1639.029648</v>
      </c>
    </row>
    <row r="154" spans="1:25" ht="18.75">
      <c r="A154" s="138">
        <v>7</v>
      </c>
      <c r="B154" s="138"/>
      <c r="C154" s="138" t="s">
        <v>78</v>
      </c>
      <c r="D154" s="137"/>
      <c r="E154" s="136">
        <f>BARDEZ!D45</f>
        <v>46620.191439305476</v>
      </c>
      <c r="F154" s="136">
        <f>BARDEZ!E45</f>
        <v>122039.38203480546</v>
      </c>
      <c r="G154" s="136">
        <f>BARDEZ!F45</f>
        <v>168659.57347411092</v>
      </c>
      <c r="H154" s="136">
        <f>BARDEZ!G45</f>
        <v>14772.458591776263</v>
      </c>
      <c r="I154" s="136">
        <f>BARDEZ!H45</f>
        <v>13836.491621676996</v>
      </c>
      <c r="J154" s="136">
        <f>BARDEZ!I45</f>
        <v>197268.5236875642</v>
      </c>
      <c r="K154" s="136">
        <f>BARDEZ!J45</f>
        <v>586286.1638100697</v>
      </c>
      <c r="L154" s="136">
        <f>BARDEZ!K45</f>
        <v>58481.82875718364</v>
      </c>
      <c r="M154" s="136">
        <f>BARDEZ!L45</f>
        <v>89317.70210188045</v>
      </c>
      <c r="N154" s="136">
        <f>BARDEZ!M45</f>
        <v>131849.94119801404</v>
      </c>
      <c r="O154" s="136">
        <f>BARDEZ!N45</f>
        <v>274.6625</v>
      </c>
      <c r="P154" s="136">
        <f>BARDEZ!O45</f>
        <v>1697.5</v>
      </c>
      <c r="Q154" s="136">
        <f>BARDEZ!P45</f>
        <v>3507.65625</v>
      </c>
      <c r="R154" s="136">
        <f>BARDEZ!R45</f>
        <v>1068683.978304712</v>
      </c>
      <c r="T154" s="66">
        <v>51795.9706064268</v>
      </c>
      <c r="U154" s="66">
        <v>137106.023027156</v>
      </c>
      <c r="V154" s="66">
        <v>188901.993633583</v>
      </c>
      <c r="W154" s="66">
        <v>135979.558500319</v>
      </c>
      <c r="X154" s="66">
        <v>444216.71437362</v>
      </c>
      <c r="Y154" s="66">
        <v>769099.266507521</v>
      </c>
    </row>
    <row r="155" spans="1:25" ht="18.75">
      <c r="A155" s="138"/>
      <c r="B155" s="138"/>
      <c r="C155" s="138"/>
      <c r="D155" s="141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  <c r="T155" s="67"/>
      <c r="U155" s="67"/>
      <c r="V155" s="67"/>
      <c r="W155" s="67"/>
      <c r="X155" s="67"/>
      <c r="Y155" s="67"/>
    </row>
    <row r="156" spans="1:25" ht="18.75">
      <c r="A156" s="138"/>
      <c r="B156" s="138"/>
      <c r="C156" s="138" t="s">
        <v>43</v>
      </c>
      <c r="D156" s="141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T156" s="67"/>
      <c r="U156" s="67"/>
      <c r="V156" s="67"/>
      <c r="W156" s="67"/>
      <c r="X156" s="67"/>
      <c r="Y156" s="67"/>
    </row>
    <row r="157" spans="1:25" ht="18.75">
      <c r="A157" s="138"/>
      <c r="B157" s="138">
        <v>23</v>
      </c>
      <c r="C157" s="138" t="s">
        <v>365</v>
      </c>
      <c r="D157" s="137" t="s">
        <v>507</v>
      </c>
      <c r="E157" s="136">
        <f>BICHOLIM!D17</f>
        <v>135.90244264655837</v>
      </c>
      <c r="F157" s="136">
        <f>BICHOLIM!E17</f>
        <v>1562.757822018991</v>
      </c>
      <c r="G157" s="136">
        <f>BICHOLIM!F17</f>
        <v>1698.6602646655492</v>
      </c>
      <c r="H157" s="136">
        <f>BICHOLIM!G17</f>
        <v>189.1666020413474</v>
      </c>
      <c r="I157" s="136">
        <f>BICHOLIM!H17</f>
        <v>177.18121110207758</v>
      </c>
      <c r="J157" s="136">
        <f>BICHOLIM!I17</f>
        <v>2065.008077808974</v>
      </c>
      <c r="K157" s="136">
        <f>BICHOLIM!J17</f>
        <v>1045.7665529212716</v>
      </c>
      <c r="L157" s="136">
        <f>BICHOLIM!K17</f>
        <v>499.5371976489997</v>
      </c>
      <c r="M157" s="136">
        <f>BICHOLIM!L17</f>
        <v>762.9295382275632</v>
      </c>
      <c r="N157" s="136">
        <f>BICHOLIM!M17</f>
        <v>1126.2293183359266</v>
      </c>
      <c r="O157" s="136">
        <f>BICHOLIM!N17</f>
        <v>200</v>
      </c>
      <c r="P157" s="136">
        <f>BICHOLIM!O17</f>
        <v>1100</v>
      </c>
      <c r="Q157" s="136">
        <f>BICHOLIM!P17</f>
        <v>2509</v>
      </c>
      <c r="R157" s="136">
        <f>BICHOLIM!R17</f>
        <v>9308.470684942735</v>
      </c>
      <c r="T157" s="66">
        <v>150.993263</v>
      </c>
      <c r="U157" s="66">
        <v>1755.70434</v>
      </c>
      <c r="V157" s="66">
        <v>1906.697603</v>
      </c>
      <c r="W157" s="66">
        <v>242.548576</v>
      </c>
      <c r="X157" s="66">
        <v>3794.3884</v>
      </c>
      <c r="Y157" s="66">
        <v>5943.634579</v>
      </c>
    </row>
    <row r="158" spans="1:25" ht="18.75">
      <c r="A158" s="138"/>
      <c r="B158" s="138">
        <v>24</v>
      </c>
      <c r="C158" s="138" t="s">
        <v>514</v>
      </c>
      <c r="D158" s="137" t="s">
        <v>507</v>
      </c>
      <c r="E158" s="136">
        <f>BICHOLIM!D18</f>
        <v>40230.470285553674</v>
      </c>
      <c r="F158" s="136">
        <f>BICHOLIM!E18</f>
        <v>27832.476912439488</v>
      </c>
      <c r="G158" s="136">
        <f>BICHOLIM!F18</f>
        <v>68062.94719799317</v>
      </c>
      <c r="H158" s="136">
        <f>BICHOLIM!G18</f>
        <v>3369.028143540752</v>
      </c>
      <c r="I158" s="136">
        <f>BICHOLIM!H18</f>
        <v>3155.5701707802514</v>
      </c>
      <c r="J158" s="136">
        <f>BICHOLIM!I18</f>
        <v>74587.54551231417</v>
      </c>
      <c r="K158" s="136">
        <f>BICHOLIM!J18</f>
        <v>127709.31462715958</v>
      </c>
      <c r="L158" s="136">
        <f>BICHOLIM!K18</f>
        <v>43613.433541934</v>
      </c>
      <c r="M158" s="136">
        <f>BICHOLIM!L18</f>
        <v>52100.516682226465</v>
      </c>
      <c r="N158" s="136">
        <f>BICHOLIM!M18</f>
        <v>76910.28653090574</v>
      </c>
      <c r="O158" s="136">
        <f>BICHOLIM!N18</f>
        <v>165</v>
      </c>
      <c r="P158" s="136">
        <f>BICHOLIM!O18</f>
        <v>999</v>
      </c>
      <c r="Q158" s="136">
        <f>BICHOLIM!P18</f>
        <v>2009</v>
      </c>
      <c r="R158" s="136">
        <f>BICHOLIM!R18</f>
        <v>378094.09689453995</v>
      </c>
      <c r="T158" s="66">
        <v>44697.7247954132</v>
      </c>
      <c r="U158" s="66">
        <v>31268.8247786137</v>
      </c>
      <c r="V158" s="66">
        <v>75966.5495740269</v>
      </c>
      <c r="W158" s="66">
        <v>29620.1024198232</v>
      </c>
      <c r="X158" s="66">
        <v>259119.074865444</v>
      </c>
      <c r="Y158" s="66">
        <v>364705.726859294</v>
      </c>
    </row>
    <row r="159" spans="1:25" ht="18.75">
      <c r="A159" s="138"/>
      <c r="B159" s="138">
        <v>25</v>
      </c>
      <c r="C159" s="138" t="s">
        <v>367</v>
      </c>
      <c r="D159" s="137" t="s">
        <v>508</v>
      </c>
      <c r="E159" s="136">
        <f>BICHOLIM!D19</f>
        <v>37296.15315144427</v>
      </c>
      <c r="F159" s="136">
        <f>BICHOLIM!E19</f>
        <v>26324.68017093441</v>
      </c>
      <c r="G159" s="136">
        <f>BICHOLIM!F19</f>
        <v>63620.833322378676</v>
      </c>
      <c r="H159" s="136">
        <f>BICHOLIM!G19</f>
        <v>3186.5143962788525</v>
      </c>
      <c r="I159" s="136">
        <f>BICHOLIM!H19</f>
        <v>2984.6202967873064</v>
      </c>
      <c r="J159" s="136">
        <f>BICHOLIM!I19</f>
        <v>69791.96801544484</v>
      </c>
      <c r="K159" s="136">
        <f>BICHOLIM!J19</f>
        <v>97126.32484718191</v>
      </c>
      <c r="L159" s="136">
        <f>BICHOLIM!K19</f>
        <v>22378.143257891832</v>
      </c>
      <c r="M159" s="136">
        <f>BICHOLIM!L19</f>
        <v>39177.527884780255</v>
      </c>
      <c r="N159" s="136">
        <f>BICHOLIM!M19</f>
        <v>50452.54116324704</v>
      </c>
      <c r="O159" s="136">
        <f>BICHOLIM!N19</f>
        <v>165</v>
      </c>
      <c r="P159" s="136">
        <f>BICHOLIM!O19</f>
        <v>914</v>
      </c>
      <c r="Q159" s="136">
        <f>BICHOLIM!P19</f>
        <v>2009</v>
      </c>
      <c r="R159" s="136">
        <f>BICHOLIM!R19</f>
        <v>282014.5051685459</v>
      </c>
      <c r="T159" s="66">
        <v>41437.5764851414</v>
      </c>
      <c r="U159" s="66">
        <v>29574.8673108608</v>
      </c>
      <c r="V159" s="66">
        <v>71013.4437960022</v>
      </c>
      <c r="W159" s="66">
        <v>22526.8743946632</v>
      </c>
      <c r="X159" s="66">
        <v>169980.068733432</v>
      </c>
      <c r="Y159" s="66">
        <v>263520.386924097</v>
      </c>
    </row>
    <row r="160" spans="1:25" ht="18.75">
      <c r="A160" s="138"/>
      <c r="B160" s="138">
        <v>26</v>
      </c>
      <c r="C160" s="138" t="s">
        <v>368</v>
      </c>
      <c r="D160" s="137" t="s">
        <v>507</v>
      </c>
      <c r="E160" s="136">
        <f>BICHOLIM!D20</f>
        <v>2780.553790837181</v>
      </c>
      <c r="F160" s="136">
        <f>BICHOLIM!E20</f>
        <v>28955.971753639125</v>
      </c>
      <c r="G160" s="136">
        <f>BICHOLIM!F20</f>
        <v>31736.525544476306</v>
      </c>
      <c r="H160" s="136">
        <f>BICHOLIM!G20</f>
        <v>3505.0234324628354</v>
      </c>
      <c r="I160" s="136">
        <f>BICHOLIM!H20</f>
        <v>3282.948945550044</v>
      </c>
      <c r="J160" s="136">
        <f>BICHOLIM!I20</f>
        <v>38524.49792248919</v>
      </c>
      <c r="K160" s="136">
        <f>BICHOLIM!J20</f>
        <v>8019.974541323306</v>
      </c>
      <c r="L160" s="136">
        <f>BICHOLIM!K20</f>
        <v>36685.39833842677</v>
      </c>
      <c r="M160" s="136">
        <f>BICHOLIM!L20</f>
        <v>56028.60837141543</v>
      </c>
      <c r="N160" s="136">
        <f>BICHOLIM!M20</f>
        <v>82708.89807208945</v>
      </c>
      <c r="O160" s="136">
        <f>BICHOLIM!N20</f>
        <v>165</v>
      </c>
      <c r="P160" s="136">
        <f>BICHOLIM!O20</f>
        <v>914</v>
      </c>
      <c r="Q160" s="136">
        <f>BICHOLIM!P20</f>
        <v>2009</v>
      </c>
      <c r="R160" s="136">
        <f>BICHOLIM!R20</f>
        <v>225055.37724574414</v>
      </c>
      <c r="T160" s="66">
        <v>3089.31084423123</v>
      </c>
      <c r="U160" s="66">
        <v>32531.032358617</v>
      </c>
      <c r="V160" s="66">
        <v>35620.3432028482</v>
      </c>
      <c r="W160" s="66">
        <v>1860.10290644729</v>
      </c>
      <c r="X160" s="66">
        <v>278655.224395349</v>
      </c>
      <c r="Y160" s="66">
        <v>316134.670504645</v>
      </c>
    </row>
    <row r="161" spans="1:25" ht="18.75">
      <c r="A161" s="138">
        <v>4</v>
      </c>
      <c r="B161" s="138"/>
      <c r="C161" s="138" t="s">
        <v>78</v>
      </c>
      <c r="D161" s="137"/>
      <c r="E161" s="136">
        <f>BICHOLIM!D21</f>
        <v>80443.07967048167</v>
      </c>
      <c r="F161" s="136">
        <f>BICHOLIM!E21</f>
        <v>84675.88665903201</v>
      </c>
      <c r="G161" s="136">
        <f>BICHOLIM!F21</f>
        <v>165118.96632951373</v>
      </c>
      <c r="H161" s="136">
        <f>BICHOLIM!G21</f>
        <v>10249.732574323785</v>
      </c>
      <c r="I161" s="136">
        <f>BICHOLIM!H21</f>
        <v>9600.32062421968</v>
      </c>
      <c r="J161" s="136">
        <f>BICHOLIM!I21</f>
        <v>184969.01952805716</v>
      </c>
      <c r="K161" s="136">
        <f>BICHOLIM!J21</f>
        <v>233901.38056858606</v>
      </c>
      <c r="L161" s="136">
        <f>BICHOLIM!K21</f>
        <v>103176.5123359016</v>
      </c>
      <c r="M161" s="136">
        <f>BICHOLIM!L21</f>
        <v>148069.58247664972</v>
      </c>
      <c r="N161" s="136">
        <f>BICHOLIM!M21</f>
        <v>211197.95508457813</v>
      </c>
      <c r="O161" s="136">
        <f>BICHOLIM!N21</f>
        <v>695</v>
      </c>
      <c r="P161" s="136">
        <f>BICHOLIM!O21</f>
        <v>3927</v>
      </c>
      <c r="Q161" s="136">
        <f>BICHOLIM!P21</f>
        <v>8536</v>
      </c>
      <c r="R161" s="136">
        <f>BICHOLIM!R21</f>
        <v>894472.4499937728</v>
      </c>
      <c r="T161" s="66">
        <v>89375.6053877858</v>
      </c>
      <c r="U161" s="66">
        <v>95131.4287880915</v>
      </c>
      <c r="V161" s="66">
        <v>184507.034175877</v>
      </c>
      <c r="W161" s="66">
        <v>54249.6282969337</v>
      </c>
      <c r="X161" s="66">
        <v>711547.756394226</v>
      </c>
      <c r="Y161" s="66">
        <v>950305.418867036</v>
      </c>
    </row>
    <row r="162" spans="1:25" ht="18.75">
      <c r="A162" s="138"/>
      <c r="B162" s="138"/>
      <c r="C162" s="138"/>
      <c r="D162" s="141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  <c r="R162" s="138"/>
      <c r="T162" s="67"/>
      <c r="U162" s="67"/>
      <c r="V162" s="67"/>
      <c r="W162" s="67"/>
      <c r="X162" s="67"/>
      <c r="Y162" s="67"/>
    </row>
    <row r="163" spans="1:25" ht="18.75">
      <c r="A163" s="138"/>
      <c r="B163" s="138"/>
      <c r="C163" s="138" t="s">
        <v>45</v>
      </c>
      <c r="D163" s="141"/>
      <c r="E163" s="138"/>
      <c r="F163" s="138"/>
      <c r="G163" s="138"/>
      <c r="H163" s="138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T163" s="67"/>
      <c r="U163" s="67"/>
      <c r="V163" s="67"/>
      <c r="W163" s="67"/>
      <c r="X163" s="67"/>
      <c r="Y163" s="67"/>
    </row>
    <row r="164" spans="1:25" s="85" customFormat="1" ht="18.75">
      <c r="A164" s="138">
        <v>1</v>
      </c>
      <c r="B164" s="138">
        <v>27</v>
      </c>
      <c r="C164" s="138" t="s">
        <v>435</v>
      </c>
      <c r="D164" s="137" t="s">
        <v>508</v>
      </c>
      <c r="E164" s="136">
        <f>'TRAIL SATTARI'!D18</f>
        <v>407.707327939675</v>
      </c>
      <c r="F164" s="136">
        <f>'TRAIL SATTARI'!E18</f>
        <v>3906.8945550474773</v>
      </c>
      <c r="G164" s="136">
        <f>'TRAIL SATTARI'!F18</f>
        <v>4314.601882987152</v>
      </c>
      <c r="H164" s="136">
        <f>'TRAIL SATTARI'!G18</f>
        <v>472.9165051033685</v>
      </c>
      <c r="I164" s="136">
        <f>'TRAIL SATTARI'!H18</f>
        <v>442.9530277551939</v>
      </c>
      <c r="J164" s="136">
        <f>'TRAIL SATTARI'!I18</f>
        <v>5230.471415845715</v>
      </c>
      <c r="K164" s="136">
        <f>'TRAIL SATTARI'!J18</f>
        <v>2614.416382303179</v>
      </c>
      <c r="L164" s="136">
        <f>'TRAIL SATTARI'!K18</f>
        <v>499.53054590064625</v>
      </c>
      <c r="M164" s="136">
        <f>'TRAIL SATTARI'!L18</f>
        <v>1262.9193791937141</v>
      </c>
      <c r="N164" s="136">
        <f>'TRAIL SATTARI'!M18</f>
        <v>6126.214321666912</v>
      </c>
      <c r="O164" s="136">
        <f>'TRAIL SATTARI'!N18</f>
        <v>418.53333333333336</v>
      </c>
      <c r="P164" s="136">
        <f>'TRAIL SATTARI'!O18</f>
        <v>2586.6666666666665</v>
      </c>
      <c r="Q164" s="136">
        <f>'TRAIL SATTARI'!P18</f>
        <v>5345</v>
      </c>
      <c r="R164" s="136">
        <f>'TRAIL SATTARI'!Q18</f>
        <v>24083.752044910165</v>
      </c>
      <c r="T164" s="86">
        <v>452.979789</v>
      </c>
      <c r="U164" s="86">
        <v>4389.26085</v>
      </c>
      <c r="V164" s="86">
        <v>4842.240639</v>
      </c>
      <c r="W164" s="86">
        <v>606.37144</v>
      </c>
      <c r="X164" s="86">
        <v>3794.3884</v>
      </c>
      <c r="Y164" s="86">
        <v>9242.000479</v>
      </c>
    </row>
    <row r="165" spans="1:25" ht="18.75">
      <c r="A165" s="138"/>
      <c r="B165" s="138"/>
      <c r="C165" s="138"/>
      <c r="D165" s="141"/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T165" s="67"/>
      <c r="U165" s="67"/>
      <c r="V165" s="67"/>
      <c r="W165" s="67"/>
      <c r="X165" s="67"/>
      <c r="Y165" s="67"/>
    </row>
    <row r="166" spans="1:25" ht="18.75">
      <c r="A166" s="138"/>
      <c r="B166" s="138"/>
      <c r="C166" s="138" t="s">
        <v>44</v>
      </c>
      <c r="D166" s="141"/>
      <c r="E166" s="138"/>
      <c r="F166" s="138"/>
      <c r="G166" s="138"/>
      <c r="H166" s="138"/>
      <c r="I166" s="138"/>
      <c r="J166" s="138"/>
      <c r="K166" s="138"/>
      <c r="L166" s="138"/>
      <c r="M166" s="138"/>
      <c r="N166" s="138"/>
      <c r="O166" s="138"/>
      <c r="P166" s="138"/>
      <c r="Q166" s="138"/>
      <c r="R166" s="138"/>
      <c r="T166" s="67"/>
      <c r="U166" s="67"/>
      <c r="V166" s="67"/>
      <c r="W166" s="67"/>
      <c r="X166" s="67"/>
      <c r="Y166" s="67"/>
    </row>
    <row r="167" spans="1:25" ht="18.75">
      <c r="A167" s="138"/>
      <c r="B167" s="138">
        <v>28</v>
      </c>
      <c r="C167" s="138" t="s">
        <v>404</v>
      </c>
      <c r="D167" s="137" t="s">
        <v>508</v>
      </c>
      <c r="E167" s="136">
        <f>PERNEM!D18</f>
        <v>135.90244264655837</v>
      </c>
      <c r="F167" s="136">
        <f>PERNEM!E18</f>
        <v>1562.757822018991</v>
      </c>
      <c r="G167" s="136">
        <f>PERNEM!F18</f>
        <v>1698.6602646655492</v>
      </c>
      <c r="H167" s="136">
        <f>PERNEM!G18</f>
        <v>189.1666020413474</v>
      </c>
      <c r="I167" s="136">
        <f>PERNEM!H18</f>
        <v>177.18121110207758</v>
      </c>
      <c r="J167" s="136">
        <f>PERNEM!I18</f>
        <v>2065.008077808974</v>
      </c>
      <c r="K167" s="136">
        <f>PERNEM!J18</f>
        <v>522.8832764606358</v>
      </c>
      <c r="L167" s="136">
        <f>PERNEM!K18</f>
        <v>399.62443672051705</v>
      </c>
      <c r="M167" s="136">
        <f>PERNEM!L18</f>
        <v>610.3355033549715</v>
      </c>
      <c r="N167" s="136">
        <f>PERNEM!M18</f>
        <v>900.9714573335292</v>
      </c>
      <c r="O167" s="136">
        <f>PERNEM!N18</f>
        <v>232</v>
      </c>
      <c r="P167" s="136">
        <f>PERNEM!O18</f>
        <v>1437</v>
      </c>
      <c r="Q167" s="136">
        <f>PERNEM!P18</f>
        <v>2969</v>
      </c>
      <c r="R167" s="136">
        <f>PERNEM!R18</f>
        <v>9136.822751678628</v>
      </c>
      <c r="T167" s="66">
        <v>150.993263</v>
      </c>
      <c r="U167" s="66">
        <v>1755.70434</v>
      </c>
      <c r="V167" s="66">
        <v>1906.697603</v>
      </c>
      <c r="W167" s="66">
        <v>121.274288</v>
      </c>
      <c r="X167" s="66">
        <v>3035.51072</v>
      </c>
      <c r="Y167" s="66">
        <v>5064.482611</v>
      </c>
    </row>
    <row r="168" spans="1:25" ht="18.75">
      <c r="A168" s="138"/>
      <c r="B168" s="138">
        <v>29</v>
      </c>
      <c r="C168" s="138" t="s">
        <v>405</v>
      </c>
      <c r="D168" s="137" t="s">
        <v>508</v>
      </c>
      <c r="E168" s="136">
        <f>PERNEM!D19</f>
        <v>135.90244264655837</v>
      </c>
      <c r="F168" s="136">
        <f>PERNEM!E19</f>
        <v>1562.757822018991</v>
      </c>
      <c r="G168" s="136">
        <f>PERNEM!F19</f>
        <v>1698.6602646655492</v>
      </c>
      <c r="H168" s="136">
        <f>PERNEM!G19</f>
        <v>189.1666020413474</v>
      </c>
      <c r="I168" s="136">
        <f>PERNEM!H19</f>
        <v>177.18121110207758</v>
      </c>
      <c r="J168" s="136">
        <f>PERNEM!I19</f>
        <v>2065.008077808974</v>
      </c>
      <c r="K168" s="136">
        <f>PERNEM!J19</f>
        <v>522.8832764606358</v>
      </c>
      <c r="L168" s="136">
        <f>PERNEM!K19</f>
        <v>399.62443672051705</v>
      </c>
      <c r="M168" s="136">
        <f>PERNEM!L19</f>
        <v>610.3355033549715</v>
      </c>
      <c r="N168" s="136">
        <f>PERNEM!M19</f>
        <v>900.9714573335292</v>
      </c>
      <c r="O168" s="136">
        <f>PERNEM!N19</f>
        <v>232</v>
      </c>
      <c r="P168" s="136">
        <f>PERNEM!O19</f>
        <v>1437</v>
      </c>
      <c r="Q168" s="136">
        <f>PERNEM!P19</f>
        <v>2969</v>
      </c>
      <c r="R168" s="136">
        <f>PERNEM!R19</f>
        <v>9136.822751678628</v>
      </c>
      <c r="T168" s="66">
        <v>150.993263</v>
      </c>
      <c r="U168" s="66">
        <v>1755.70434</v>
      </c>
      <c r="V168" s="66">
        <v>1906.697603</v>
      </c>
      <c r="W168" s="66">
        <v>121.274288</v>
      </c>
      <c r="X168" s="66">
        <v>3035.51072</v>
      </c>
      <c r="Y168" s="66">
        <v>5064.482611</v>
      </c>
    </row>
    <row r="169" spans="1:25" s="80" customFormat="1" ht="18.75">
      <c r="A169" s="138">
        <v>2</v>
      </c>
      <c r="B169" s="138"/>
      <c r="C169" s="138" t="s">
        <v>78</v>
      </c>
      <c r="D169" s="137"/>
      <c r="E169" s="136">
        <f>PERNEM!D20</f>
        <v>271.80488529311674</v>
      </c>
      <c r="F169" s="136">
        <f>PERNEM!E20</f>
        <v>3125.515644037982</v>
      </c>
      <c r="G169" s="136">
        <f>PERNEM!F20</f>
        <v>3397.3205293310984</v>
      </c>
      <c r="H169" s="136">
        <f>PERNEM!G20</f>
        <v>378.3332040826948</v>
      </c>
      <c r="I169" s="136">
        <f>PERNEM!H20</f>
        <v>354.36242220415517</v>
      </c>
      <c r="J169" s="136">
        <f>PERNEM!I20</f>
        <v>4130.016155617948</v>
      </c>
      <c r="K169" s="136">
        <f>PERNEM!J20</f>
        <v>1045.7665529212716</v>
      </c>
      <c r="L169" s="136">
        <f>PERNEM!K20</f>
        <v>799.2488734410341</v>
      </c>
      <c r="M169" s="136">
        <f>PERNEM!L20</f>
        <v>1220.671006709943</v>
      </c>
      <c r="N169" s="136">
        <f>PERNEM!M20</f>
        <v>1801.9429146670584</v>
      </c>
      <c r="O169" s="136">
        <f>PERNEM!N20</f>
        <v>464</v>
      </c>
      <c r="P169" s="136">
        <f>PERNEM!O20</f>
        <v>2874</v>
      </c>
      <c r="Q169" s="136">
        <f>PERNEM!P20</f>
        <v>5938</v>
      </c>
      <c r="R169" s="136">
        <f>PERNEM!R20</f>
        <v>18273.645503357257</v>
      </c>
      <c r="T169" s="81">
        <v>301.986526</v>
      </c>
      <c r="U169" s="81">
        <v>3512.40868</v>
      </c>
      <c r="V169" s="81">
        <v>3814.395206</v>
      </c>
      <c r="W169" s="81">
        <v>241.548576</v>
      </c>
      <c r="X169" s="81">
        <v>6072.02144</v>
      </c>
      <c r="Y169" s="81">
        <v>10127.965222</v>
      </c>
    </row>
    <row r="170" spans="1:25" ht="18.75">
      <c r="A170" s="138"/>
      <c r="B170" s="138"/>
      <c r="C170" s="138"/>
      <c r="D170" s="141"/>
      <c r="E170" s="138"/>
      <c r="F170" s="138"/>
      <c r="G170" s="138"/>
      <c r="H170" s="138"/>
      <c r="I170" s="138"/>
      <c r="J170" s="138"/>
      <c r="K170" s="138"/>
      <c r="L170" s="138"/>
      <c r="M170" s="138"/>
      <c r="N170" s="138"/>
      <c r="O170" s="138"/>
      <c r="P170" s="138"/>
      <c r="Q170" s="138"/>
      <c r="R170" s="138"/>
      <c r="T170" s="67"/>
      <c r="U170" s="67"/>
      <c r="V170" s="67"/>
      <c r="W170" s="67"/>
      <c r="X170" s="67"/>
      <c r="Y170" s="67"/>
    </row>
    <row r="171" spans="1:25" ht="18.75">
      <c r="A171" s="138">
        <v>29</v>
      </c>
      <c r="B171" s="138"/>
      <c r="C171" s="138" t="s">
        <v>17</v>
      </c>
      <c r="D171" s="144"/>
      <c r="E171" s="145">
        <f aca="true" t="shared" si="9" ref="E171:R171">E144+E154+E161+E164+E169</f>
        <v>149450.75801678424</v>
      </c>
      <c r="F171" s="145">
        <f t="shared" si="9"/>
        <v>245938.8452154613</v>
      </c>
      <c r="G171" s="145">
        <f t="shared" si="9"/>
        <v>395389.6032322456</v>
      </c>
      <c r="H171" s="145">
        <f t="shared" si="9"/>
        <v>29770.07377846696</v>
      </c>
      <c r="I171" s="145">
        <f t="shared" si="9"/>
        <v>27903.87416037665</v>
      </c>
      <c r="J171" s="145">
        <f t="shared" si="9"/>
        <v>453063.5511710892</v>
      </c>
      <c r="K171" s="145">
        <f t="shared" si="9"/>
        <v>1808021.4567192027</v>
      </c>
      <c r="L171" s="145">
        <f t="shared" si="9"/>
        <v>231552.8537376077</v>
      </c>
      <c r="M171" s="145">
        <f t="shared" si="9"/>
        <v>345398.90389016445</v>
      </c>
      <c r="N171" s="145">
        <f t="shared" si="9"/>
        <v>506755.52479024284</v>
      </c>
      <c r="O171" s="145">
        <f t="shared" si="9"/>
        <v>2336.195833333333</v>
      </c>
      <c r="P171" s="145">
        <f t="shared" si="9"/>
        <v>14099.166666666666</v>
      </c>
      <c r="Q171" s="145">
        <f t="shared" si="9"/>
        <v>29626.120535714286</v>
      </c>
      <c r="R171" s="145">
        <f t="shared" si="9"/>
        <v>3390853.773344021</v>
      </c>
      <c r="T171" s="71">
        <v>212692.354868926</v>
      </c>
      <c r="U171" s="71">
        <v>329410.154615368</v>
      </c>
      <c r="V171" s="71">
        <v>542101.509484295</v>
      </c>
      <c r="W171" s="71">
        <v>569813.365741349</v>
      </c>
      <c r="X171" s="71">
        <v>2244473.15529812</v>
      </c>
      <c r="Y171" s="71">
        <v>3356388.03052376</v>
      </c>
    </row>
    <row r="172" spans="1:25" ht="18.75">
      <c r="A172" s="138"/>
      <c r="B172" s="138"/>
      <c r="C172" s="138"/>
      <c r="D172" s="141"/>
      <c r="E172" s="138"/>
      <c r="F172" s="138"/>
      <c r="G172" s="138"/>
      <c r="H172" s="138"/>
      <c r="I172" s="138"/>
      <c r="J172" s="138"/>
      <c r="K172" s="138"/>
      <c r="L172" s="138"/>
      <c r="M172" s="138"/>
      <c r="N172" s="138"/>
      <c r="O172" s="138"/>
      <c r="P172" s="138"/>
      <c r="Q172" s="138"/>
      <c r="R172" s="138"/>
      <c r="T172" s="67"/>
      <c r="U172" s="67"/>
      <c r="V172" s="67"/>
      <c r="W172" s="67"/>
      <c r="X172" s="67"/>
      <c r="Y172" s="67"/>
    </row>
    <row r="173" spans="1:25" ht="18.75">
      <c r="A173" s="138"/>
      <c r="B173" s="138"/>
      <c r="C173" s="143" t="s">
        <v>458</v>
      </c>
      <c r="D173" s="141"/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T173" s="67"/>
      <c r="U173" s="67"/>
      <c r="V173" s="67"/>
      <c r="W173" s="67"/>
      <c r="X173" s="67"/>
      <c r="Y173" s="67"/>
    </row>
    <row r="174" spans="1:25" ht="18.75">
      <c r="A174" s="138"/>
      <c r="B174" s="138"/>
      <c r="C174" s="138" t="s">
        <v>41</v>
      </c>
      <c r="D174" s="141"/>
      <c r="E174" s="138"/>
      <c r="F174" s="138"/>
      <c r="G174" s="138"/>
      <c r="H174" s="138"/>
      <c r="I174" s="138"/>
      <c r="J174" s="138"/>
      <c r="K174" s="138"/>
      <c r="L174" s="138"/>
      <c r="M174" s="138"/>
      <c r="N174" s="138"/>
      <c r="O174" s="138"/>
      <c r="P174" s="138"/>
      <c r="Q174" s="138"/>
      <c r="R174" s="138"/>
      <c r="T174" s="67"/>
      <c r="U174" s="67"/>
      <c r="V174" s="67"/>
      <c r="W174" s="67"/>
      <c r="X174" s="67"/>
      <c r="Y174" s="67"/>
    </row>
    <row r="175" spans="1:25" ht="18.75">
      <c r="A175" s="138"/>
      <c r="B175" s="138">
        <v>1</v>
      </c>
      <c r="C175" s="138" t="s">
        <v>94</v>
      </c>
      <c r="D175" s="137" t="s">
        <v>507</v>
      </c>
      <c r="E175" s="136">
        <f>'TISWADI '!D57</f>
        <v>0</v>
      </c>
      <c r="F175" s="136">
        <f>'TISWADI '!E57</f>
        <v>0</v>
      </c>
      <c r="G175" s="136">
        <f>'TISWADI '!F57</f>
        <v>0</v>
      </c>
      <c r="H175" s="136">
        <f>'TISWADI '!G57</f>
        <v>0</v>
      </c>
      <c r="I175" s="136">
        <f>'TISWADI '!H57</f>
        <v>0</v>
      </c>
      <c r="J175" s="136">
        <f>'TISWADI '!I57</f>
        <v>0</v>
      </c>
      <c r="K175" s="136">
        <f>'TISWADI '!J57</f>
        <v>53180.54905829399</v>
      </c>
      <c r="L175" s="136">
        <f>'TISWADI '!K57</f>
        <v>17228.79981628939</v>
      </c>
      <c r="M175" s="136">
        <f>'TISWADI '!L57</f>
        <v>26313.076083060158</v>
      </c>
      <c r="N175" s="136">
        <f>'TISWADI '!M57</f>
        <v>36843.11231308881</v>
      </c>
      <c r="O175" s="136">
        <f>'TISWADI '!N57</f>
        <v>44.84</v>
      </c>
      <c r="P175" s="136">
        <f>'TISWADI '!O57</f>
        <v>274</v>
      </c>
      <c r="Q175" s="136">
        <f>'TISWADI '!P57</f>
        <v>572</v>
      </c>
      <c r="R175" s="136">
        <f>'TISWADI '!S57</f>
        <v>134456.37727073234</v>
      </c>
      <c r="T175" s="66">
        <v>0</v>
      </c>
      <c r="U175" s="66">
        <v>0</v>
      </c>
      <c r="V175" s="66">
        <v>0</v>
      </c>
      <c r="W175" s="66">
        <v>12334.3650731182</v>
      </c>
      <c r="X175" s="66">
        <v>130866.647121612</v>
      </c>
      <c r="Y175" s="66">
        <v>143201.012194731</v>
      </c>
    </row>
    <row r="176" spans="1:25" ht="18.75">
      <c r="A176" s="138"/>
      <c r="B176" s="138">
        <v>2</v>
      </c>
      <c r="C176" s="138" t="s">
        <v>95</v>
      </c>
      <c r="D176" s="137" t="s">
        <v>508</v>
      </c>
      <c r="E176" s="136">
        <f>'TISWADI '!D58</f>
        <v>18558.75289292358</v>
      </c>
      <c r="F176" s="136">
        <f>'TISWADI '!E58</f>
        <v>8736.986060009203</v>
      </c>
      <c r="G176" s="136">
        <f>'TISWADI '!F58</f>
        <v>27295.738952932785</v>
      </c>
      <c r="H176" s="136">
        <f>'TISWADI '!G58</f>
        <v>1057.5829100118087</v>
      </c>
      <c r="I176" s="136">
        <f>'TISWADI '!H58</f>
        <v>990.5756027472231</v>
      </c>
      <c r="J176" s="136">
        <f>'TISWADI '!I58</f>
        <v>29343.897465691818</v>
      </c>
      <c r="K176" s="136">
        <f>'TISWADI '!J58</f>
        <v>4605.871954815956</v>
      </c>
      <c r="L176" s="136">
        <f>'TISWADI '!K58</f>
        <v>4988.474796986371</v>
      </c>
      <c r="M176" s="136">
        <f>'TISWADI '!L58</f>
        <v>7618.7615081246395</v>
      </c>
      <c r="N176" s="136">
        <f>'TISWADI '!M58</f>
        <v>11246.743178660183</v>
      </c>
      <c r="O176" s="136">
        <f>'TISWADI '!N58</f>
        <v>44.84</v>
      </c>
      <c r="P176" s="136">
        <f>'TISWADI '!O58</f>
        <v>274</v>
      </c>
      <c r="Q176" s="136">
        <f>'TISWADI '!P58</f>
        <v>572</v>
      </c>
      <c r="R176" s="136">
        <f>'TISWADI '!S58</f>
        <v>58694.58890427896</v>
      </c>
      <c r="T176" s="66">
        <v>20737.7701832419</v>
      </c>
      <c r="U176" s="66">
        <v>9815.70152965854</v>
      </c>
      <c r="V176" s="66">
        <v>30554.4717129005</v>
      </c>
      <c r="W176" s="66">
        <v>1068.25723270483</v>
      </c>
      <c r="X176" s="66">
        <v>37891.494352093</v>
      </c>
      <c r="Y176" s="66">
        <v>69513.2232976983</v>
      </c>
    </row>
    <row r="177" spans="1:25" ht="18.75">
      <c r="A177" s="138">
        <v>2</v>
      </c>
      <c r="B177" s="138"/>
      <c r="C177" s="138" t="s">
        <v>78</v>
      </c>
      <c r="D177" s="137"/>
      <c r="E177" s="136">
        <f>'TISWADI '!D59</f>
        <v>18558.75289292358</v>
      </c>
      <c r="F177" s="136">
        <f>'TISWADI '!E59</f>
        <v>8736.986060009203</v>
      </c>
      <c r="G177" s="136">
        <f>'TISWADI '!F59</f>
        <v>27295.738952932785</v>
      </c>
      <c r="H177" s="136">
        <f>'TISWADI '!G59</f>
        <v>1057.5829100118087</v>
      </c>
      <c r="I177" s="136">
        <f>'TISWADI '!H59</f>
        <v>990.5756027472231</v>
      </c>
      <c r="J177" s="136">
        <f>'TISWADI '!I59</f>
        <v>29343.897465691818</v>
      </c>
      <c r="K177" s="136">
        <f>'TISWADI '!J59</f>
        <v>57786.421013109946</v>
      </c>
      <c r="L177" s="136">
        <f>'TISWADI '!K59</f>
        <v>22217.27461327576</v>
      </c>
      <c r="M177" s="136">
        <f>'TISWADI '!L59</f>
        <v>33931.8375911848</v>
      </c>
      <c r="N177" s="136">
        <f>'TISWADI '!M59</f>
        <v>48089.85549174899</v>
      </c>
      <c r="O177" s="136">
        <f>'TISWADI '!N59</f>
        <v>89.68</v>
      </c>
      <c r="P177" s="136">
        <f>'TISWADI '!O59</f>
        <v>548</v>
      </c>
      <c r="Q177" s="136">
        <f>'TISWADI '!P59</f>
        <v>1144</v>
      </c>
      <c r="R177" s="136">
        <f>'TISWADI '!S59</f>
        <v>193150.9661750113</v>
      </c>
      <c r="T177" s="66">
        <v>20737.7701832419</v>
      </c>
      <c r="U177" s="66">
        <v>9815.70152965854</v>
      </c>
      <c r="V177" s="66">
        <v>30554.4717129005</v>
      </c>
      <c r="W177" s="66">
        <v>13401.622305823</v>
      </c>
      <c r="X177" s="66">
        <v>168758.141473705</v>
      </c>
      <c r="Y177" s="66">
        <v>212714.235492429</v>
      </c>
    </row>
    <row r="178" spans="1:25" ht="18.75">
      <c r="A178" s="138"/>
      <c r="B178" s="138"/>
      <c r="C178" s="138"/>
      <c r="D178" s="141"/>
      <c r="E178" s="138"/>
      <c r="F178" s="138"/>
      <c r="G178" s="138"/>
      <c r="H178" s="138"/>
      <c r="I178" s="138"/>
      <c r="J178" s="138"/>
      <c r="K178" s="138"/>
      <c r="L178" s="138"/>
      <c r="M178" s="138"/>
      <c r="N178" s="138"/>
      <c r="O178" s="138"/>
      <c r="P178" s="138"/>
      <c r="Q178" s="138"/>
      <c r="R178" s="138"/>
      <c r="T178" s="67"/>
      <c r="U178" s="67"/>
      <c r="V178" s="67"/>
      <c r="W178" s="67"/>
      <c r="X178" s="67"/>
      <c r="Y178" s="67"/>
    </row>
    <row r="179" spans="1:25" ht="18.75">
      <c r="A179" s="138"/>
      <c r="B179" s="138"/>
      <c r="C179" s="138" t="s">
        <v>42</v>
      </c>
      <c r="D179" s="141"/>
      <c r="E179" s="138"/>
      <c r="F179" s="138"/>
      <c r="G179" s="138"/>
      <c r="H179" s="138"/>
      <c r="I179" s="138"/>
      <c r="J179" s="138"/>
      <c r="K179" s="138"/>
      <c r="L179" s="138"/>
      <c r="M179" s="138"/>
      <c r="N179" s="138"/>
      <c r="O179" s="138"/>
      <c r="P179" s="138"/>
      <c r="Q179" s="138"/>
      <c r="R179" s="138"/>
      <c r="T179" s="67"/>
      <c r="U179" s="67"/>
      <c r="V179" s="67"/>
      <c r="W179" s="67"/>
      <c r="X179" s="67"/>
      <c r="Y179" s="67"/>
    </row>
    <row r="180" spans="1:25" ht="18.75">
      <c r="A180" s="138"/>
      <c r="B180" s="138">
        <v>3</v>
      </c>
      <c r="C180" s="138" t="s">
        <v>236</v>
      </c>
      <c r="D180" s="137" t="s">
        <v>507</v>
      </c>
      <c r="E180" s="136">
        <f>BARDEZ!D47</f>
        <v>9324.038287861113</v>
      </c>
      <c r="F180" s="136">
        <f>BARDEZ!E47</f>
        <v>4915.535020745752</v>
      </c>
      <c r="G180" s="136">
        <f>BARDEZ!F47</f>
        <v>14239.573308606865</v>
      </c>
      <c r="H180" s="136">
        <f>BARDEZ!G47</f>
        <v>595.0090564182236</v>
      </c>
      <c r="I180" s="136">
        <f>BARDEZ!H47</f>
        <v>557.3099273086374</v>
      </c>
      <c r="J180" s="136">
        <f>BARDEZ!I47</f>
        <v>15391.892292333727</v>
      </c>
      <c r="K180" s="136">
        <f>BARDEZ!J47</f>
        <v>30502.387020768732</v>
      </c>
      <c r="L180" s="136">
        <f>BARDEZ!K47</f>
        <v>10864.047360196519</v>
      </c>
      <c r="M180" s="136">
        <f>BARDEZ!L47</f>
        <v>16592.36324102741</v>
      </c>
      <c r="N180" s="136">
        <f>BARDEZ!M47</f>
        <v>24493.488593897604</v>
      </c>
      <c r="O180" s="136">
        <f>BARDEZ!N47</f>
        <v>39.2375</v>
      </c>
      <c r="P180" s="136">
        <f>BARDEZ!O47</f>
        <v>242.5</v>
      </c>
      <c r="Q180" s="136">
        <f>BARDEZ!P47</f>
        <v>501.09375</v>
      </c>
      <c r="R180" s="136">
        <f>BARDEZ!R47</f>
        <v>98627.009758224</v>
      </c>
      <c r="T180" s="66">
        <v>10359.3941212854</v>
      </c>
      <c r="U180" s="66">
        <v>5522.4335132078</v>
      </c>
      <c r="V180" s="66">
        <v>15880.8276344932</v>
      </c>
      <c r="W180" s="66">
        <v>7074.53352358775</v>
      </c>
      <c r="X180" s="66">
        <v>82521.2125835427</v>
      </c>
      <c r="Y180" s="66">
        <v>105476.573741624</v>
      </c>
    </row>
    <row r="181" spans="1:25" ht="18.75">
      <c r="A181" s="138"/>
      <c r="B181" s="138">
        <v>4</v>
      </c>
      <c r="C181" s="138" t="s">
        <v>237</v>
      </c>
      <c r="D181" s="137" t="s">
        <v>507</v>
      </c>
      <c r="E181" s="136">
        <f>BARDEZ!D48</f>
        <v>0</v>
      </c>
      <c r="F181" s="136">
        <f>BARDEZ!E48</f>
        <v>1637.2045242611553</v>
      </c>
      <c r="G181" s="136">
        <f>BARDEZ!F48</f>
        <v>1637.2045242611553</v>
      </c>
      <c r="H181" s="136">
        <f>BARDEZ!G48</f>
        <v>198.17812609063355</v>
      </c>
      <c r="I181" s="136">
        <f>BARDEZ!H48</f>
        <v>185.6217747517805</v>
      </c>
      <c r="J181" s="136">
        <f>BARDEZ!I48</f>
        <v>2021.0044251035692</v>
      </c>
      <c r="K181" s="136">
        <f>BARDEZ!J48</f>
        <v>60476.13342513324</v>
      </c>
      <c r="L181" s="136">
        <f>BARDEZ!K48</f>
        <v>10202.121831338563</v>
      </c>
      <c r="M181" s="136">
        <f>BARDEZ!L48</f>
        <v>15581.422433317079</v>
      </c>
      <c r="N181" s="136">
        <f>BARDEZ!M48</f>
        <v>23001.147401563307</v>
      </c>
      <c r="O181" s="136">
        <f>BARDEZ!N48</f>
        <v>39.2375</v>
      </c>
      <c r="P181" s="136">
        <f>BARDEZ!O48</f>
        <v>242.5</v>
      </c>
      <c r="Q181" s="136">
        <f>BARDEZ!P48</f>
        <v>501.09375</v>
      </c>
      <c r="R181" s="136">
        <f>BARDEZ!R48</f>
        <v>112064.66076645577</v>
      </c>
      <c r="T181" s="66">
        <v>0</v>
      </c>
      <c r="U181" s="66">
        <v>1839.34263403611</v>
      </c>
      <c r="V181" s="66">
        <v>1839.34263403611</v>
      </c>
      <c r="W181" s="66">
        <v>14026.4574376346</v>
      </c>
      <c r="X181" s="66">
        <v>77493.3536769728</v>
      </c>
      <c r="Y181" s="66">
        <v>93358.1537486435</v>
      </c>
    </row>
    <row r="182" spans="1:25" ht="18.75">
      <c r="A182" s="138">
        <v>2</v>
      </c>
      <c r="B182" s="138"/>
      <c r="C182" s="138" t="s">
        <v>78</v>
      </c>
      <c r="D182" s="137"/>
      <c r="E182" s="136">
        <f>BARDEZ!D49</f>
        <v>9324.038287861113</v>
      </c>
      <c r="F182" s="136">
        <f>BARDEZ!E49</f>
        <v>6552.739545006907</v>
      </c>
      <c r="G182" s="136">
        <f>BARDEZ!F49</f>
        <v>15876.77783286802</v>
      </c>
      <c r="H182" s="136">
        <f>BARDEZ!G49</f>
        <v>793.1871825088572</v>
      </c>
      <c r="I182" s="136">
        <f>BARDEZ!H49</f>
        <v>742.9317020604178</v>
      </c>
      <c r="J182" s="136">
        <f>BARDEZ!I49</f>
        <v>17412.896717437296</v>
      </c>
      <c r="K182" s="136">
        <f>BARDEZ!J49</f>
        <v>90978.52044590197</v>
      </c>
      <c r="L182" s="136">
        <f>BARDEZ!K49</f>
        <v>21066.169191535082</v>
      </c>
      <c r="M182" s="136">
        <f>BARDEZ!L49</f>
        <v>32173.78567434449</v>
      </c>
      <c r="N182" s="136">
        <f>BARDEZ!M49</f>
        <v>47494.63599546091</v>
      </c>
      <c r="O182" s="136">
        <f>BARDEZ!N49</f>
        <v>78.475</v>
      </c>
      <c r="P182" s="136">
        <f>BARDEZ!O49</f>
        <v>485</v>
      </c>
      <c r="Q182" s="136">
        <f>BARDEZ!P49</f>
        <v>1002.1875</v>
      </c>
      <c r="R182" s="136">
        <f>BARDEZ!R49</f>
        <v>210691.67052467976</v>
      </c>
      <c r="T182" s="66">
        <v>10359.3941212854</v>
      </c>
      <c r="U182" s="66">
        <v>7360.77614724391</v>
      </c>
      <c r="V182" s="66">
        <v>17720.1702685293</v>
      </c>
      <c r="W182" s="66">
        <v>21100.9909612224</v>
      </c>
      <c r="X182" s="66">
        <v>160013.566260515</v>
      </c>
      <c r="Y182" s="66">
        <v>198834.727490267</v>
      </c>
    </row>
    <row r="183" spans="1:25" ht="18.75">
      <c r="A183" s="138"/>
      <c r="B183" s="138"/>
      <c r="C183" s="138"/>
      <c r="D183" s="141"/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  <c r="O183" s="138"/>
      <c r="P183" s="138"/>
      <c r="Q183" s="138"/>
      <c r="R183" s="138"/>
      <c r="T183" s="67"/>
      <c r="U183" s="67"/>
      <c r="V183" s="67"/>
      <c r="W183" s="67"/>
      <c r="X183" s="67"/>
      <c r="Y183" s="67"/>
    </row>
    <row r="184" spans="1:25" ht="18.75">
      <c r="A184" s="138"/>
      <c r="B184" s="138"/>
      <c r="C184" s="138"/>
      <c r="D184" s="141"/>
      <c r="E184" s="138"/>
      <c r="F184" s="138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  <c r="Q184" s="138"/>
      <c r="R184" s="138"/>
      <c r="T184" s="67"/>
      <c r="U184" s="67"/>
      <c r="V184" s="67"/>
      <c r="W184" s="67"/>
      <c r="X184" s="67"/>
      <c r="Y184" s="67"/>
    </row>
    <row r="185" spans="1:25" ht="18.75">
      <c r="A185" s="138"/>
      <c r="B185" s="138"/>
      <c r="C185" s="138" t="s">
        <v>43</v>
      </c>
      <c r="D185" s="141"/>
      <c r="E185" s="138"/>
      <c r="F185" s="138"/>
      <c r="G185" s="138"/>
      <c r="H185" s="138"/>
      <c r="I185" s="138"/>
      <c r="J185" s="138"/>
      <c r="K185" s="138"/>
      <c r="L185" s="138"/>
      <c r="M185" s="138"/>
      <c r="N185" s="138"/>
      <c r="O185" s="138"/>
      <c r="P185" s="138"/>
      <c r="Q185" s="138"/>
      <c r="R185" s="138"/>
      <c r="T185" s="67"/>
      <c r="U185" s="67"/>
      <c r="V185" s="67"/>
      <c r="W185" s="67"/>
      <c r="X185" s="67"/>
      <c r="Y185" s="67"/>
    </row>
    <row r="186" spans="1:25" ht="18.75">
      <c r="A186" s="138">
        <v>1</v>
      </c>
      <c r="B186" s="138">
        <v>9</v>
      </c>
      <c r="C186" s="138" t="s">
        <v>388</v>
      </c>
      <c r="D186" s="137" t="s">
        <v>508</v>
      </c>
      <c r="E186" s="136">
        <f>BICHOLIM!D78</f>
        <v>0</v>
      </c>
      <c r="F186" s="136">
        <f>BICHOLIM!E78</f>
        <v>0</v>
      </c>
      <c r="G186" s="136">
        <f>BICHOLIM!F78</f>
        <v>0</v>
      </c>
      <c r="H186" s="136">
        <f>BICHOLIM!G78</f>
        <v>0</v>
      </c>
      <c r="I186" s="136">
        <f>BICHOLIM!H78</f>
        <v>0</v>
      </c>
      <c r="J186" s="136">
        <f>BICHOLIM!I78</f>
        <v>0</v>
      </c>
      <c r="K186" s="136">
        <f>BICHOLIM!J78</f>
        <v>522.8832764606358</v>
      </c>
      <c r="L186" s="136">
        <f>BICHOLIM!K78</f>
        <v>399.62975811919983</v>
      </c>
      <c r="M186" s="136">
        <f>BICHOLIM!L78</f>
        <v>610.3436305820507</v>
      </c>
      <c r="N186" s="136">
        <f>BICHOLIM!M78</f>
        <v>900.9834546687415</v>
      </c>
      <c r="O186" s="136">
        <f>BICHOLIM!N78</f>
        <v>150</v>
      </c>
      <c r="P186" s="136">
        <f>BICHOLIM!O78</f>
        <v>999</v>
      </c>
      <c r="Q186" s="136">
        <f>BICHOLIM!P78</f>
        <v>2009</v>
      </c>
      <c r="R186" s="136">
        <f>BICHOLIM!R78</f>
        <v>5591.840119830627</v>
      </c>
      <c r="T186" s="66">
        <v>0</v>
      </c>
      <c r="U186" s="66">
        <v>0</v>
      </c>
      <c r="V186" s="66">
        <v>0</v>
      </c>
      <c r="W186" s="66">
        <v>121.274288</v>
      </c>
      <c r="X186" s="66">
        <v>3035.51072</v>
      </c>
      <c r="Y186" s="66">
        <v>3156.785008</v>
      </c>
    </row>
    <row r="187" spans="1:25" ht="18.75">
      <c r="A187" s="138"/>
      <c r="B187" s="138"/>
      <c r="C187" s="138"/>
      <c r="D187" s="141"/>
      <c r="E187" s="138"/>
      <c r="F187" s="138"/>
      <c r="G187" s="138"/>
      <c r="H187" s="138"/>
      <c r="I187" s="138"/>
      <c r="J187" s="138"/>
      <c r="K187" s="138"/>
      <c r="L187" s="138"/>
      <c r="M187" s="138"/>
      <c r="N187" s="138"/>
      <c r="O187" s="138"/>
      <c r="P187" s="138"/>
      <c r="Q187" s="138"/>
      <c r="R187" s="138"/>
      <c r="T187" s="67"/>
      <c r="U187" s="67"/>
      <c r="V187" s="67"/>
      <c r="W187" s="67"/>
      <c r="X187" s="67"/>
      <c r="Y187" s="67"/>
    </row>
    <row r="188" spans="1:25" s="80" customFormat="1" ht="18.75">
      <c r="A188" s="138">
        <v>1</v>
      </c>
      <c r="B188" s="138">
        <v>10</v>
      </c>
      <c r="C188" s="138" t="s">
        <v>44</v>
      </c>
      <c r="D188" s="137" t="s">
        <v>508</v>
      </c>
      <c r="E188" s="136">
        <f>PERNEM!D16</f>
        <v>2562.6675675410497</v>
      </c>
      <c r="F188" s="136">
        <f>PERNEM!E16</f>
        <v>4803.77375382014</v>
      </c>
      <c r="G188" s="136">
        <f>PERNEM!F16</f>
        <v>7366.44132136119</v>
      </c>
      <c r="H188" s="136">
        <f>PERNEM!G16</f>
        <v>581.4807292479647</v>
      </c>
      <c r="I188" s="136">
        <f>PERNEM!H16</f>
        <v>544.6387402896536</v>
      </c>
      <c r="J188" s="136">
        <f>PERNEM!I16</f>
        <v>8492.560790898808</v>
      </c>
      <c r="K188" s="136">
        <f>PERNEM!J16</f>
        <v>5757.339943519956</v>
      </c>
      <c r="L188" s="136">
        <f>PERNEM!K16</f>
        <v>6941.234904312631</v>
      </c>
      <c r="M188" s="136">
        <f>PERNEM!L16</f>
        <v>10601.1587629502</v>
      </c>
      <c r="N188" s="136">
        <f>PERNEM!M16</f>
        <v>15649.329602450296</v>
      </c>
      <c r="O188" s="136">
        <f>PERNEM!N16</f>
        <v>232</v>
      </c>
      <c r="P188" s="136">
        <f>PERNEM!O16</f>
        <v>1438</v>
      </c>
      <c r="Q188" s="136">
        <f>PERNEM!P16</f>
        <v>2969</v>
      </c>
      <c r="R188" s="136">
        <f>PERNEM!R16</f>
        <v>52080.62400413189</v>
      </c>
      <c r="T188" s="81">
        <v>2847.23019301151</v>
      </c>
      <c r="U188" s="81">
        <v>5396.8735968724</v>
      </c>
      <c r="V188" s="81">
        <v>8244.10378988392</v>
      </c>
      <c r="W188" s="81">
        <v>1335.32154088104</v>
      </c>
      <c r="X188" s="81">
        <v>52724.9863271372</v>
      </c>
      <c r="Y188" s="81">
        <v>62304.4116579022</v>
      </c>
    </row>
    <row r="189" spans="1:25" ht="18.75">
      <c r="A189" s="138"/>
      <c r="B189" s="138"/>
      <c r="C189" s="138"/>
      <c r="D189" s="141"/>
      <c r="E189" s="138"/>
      <c r="F189" s="138"/>
      <c r="G189" s="138"/>
      <c r="H189" s="138"/>
      <c r="I189" s="138"/>
      <c r="J189" s="138"/>
      <c r="K189" s="138"/>
      <c r="L189" s="138"/>
      <c r="M189" s="138"/>
      <c r="N189" s="138"/>
      <c r="O189" s="138"/>
      <c r="P189" s="138"/>
      <c r="Q189" s="138"/>
      <c r="R189" s="138"/>
      <c r="T189" s="67"/>
      <c r="U189" s="67"/>
      <c r="V189" s="67"/>
      <c r="W189" s="67"/>
      <c r="X189" s="67"/>
      <c r="Y189" s="67"/>
    </row>
    <row r="190" spans="1:25" ht="18.75">
      <c r="A190" s="145">
        <v>10</v>
      </c>
      <c r="B190" s="138"/>
      <c r="C190" s="143" t="s">
        <v>17</v>
      </c>
      <c r="D190" s="144"/>
      <c r="E190" s="145">
        <f aca="true" t="shared" si="10" ref="E190:R190">E177+E182+E186+E188</f>
        <v>30445.458748325742</v>
      </c>
      <c r="F190" s="145">
        <f t="shared" si="10"/>
        <v>20093.49935883625</v>
      </c>
      <c r="G190" s="145">
        <f t="shared" si="10"/>
        <v>50538.958107162</v>
      </c>
      <c r="H190" s="145">
        <f t="shared" si="10"/>
        <v>2432.250821768631</v>
      </c>
      <c r="I190" s="145">
        <f t="shared" si="10"/>
        <v>2278.1460450972945</v>
      </c>
      <c r="J190" s="145">
        <f t="shared" si="10"/>
        <v>55249.35497402792</v>
      </c>
      <c r="K190" s="145">
        <f t="shared" si="10"/>
        <v>155045.16467899253</v>
      </c>
      <c r="L190" s="145">
        <f t="shared" si="10"/>
        <v>50624.30846724267</v>
      </c>
      <c r="M190" s="145">
        <f t="shared" si="10"/>
        <v>77317.12565906154</v>
      </c>
      <c r="N190" s="145">
        <f t="shared" si="10"/>
        <v>112134.80454432892</v>
      </c>
      <c r="O190" s="145">
        <f t="shared" si="10"/>
        <v>550.155</v>
      </c>
      <c r="P190" s="145">
        <f t="shared" si="10"/>
        <v>3470</v>
      </c>
      <c r="Q190" s="145">
        <f t="shared" si="10"/>
        <v>7124.1875</v>
      </c>
      <c r="R190" s="145">
        <f t="shared" si="10"/>
        <v>461515.10082365357</v>
      </c>
      <c r="T190" s="71">
        <v>95059.6357111358</v>
      </c>
      <c r="U190" s="71">
        <v>47452.9727137837</v>
      </c>
      <c r="V190" s="71">
        <v>142512.60842492</v>
      </c>
      <c r="W190" s="71">
        <v>66075.8111567372</v>
      </c>
      <c r="X190" s="71">
        <v>698773.487605599</v>
      </c>
      <c r="Y190" s="71">
        <v>907361.907187256</v>
      </c>
    </row>
    <row r="191" spans="1:25" ht="18.75">
      <c r="A191" s="138"/>
      <c r="B191" s="138"/>
      <c r="C191" s="138"/>
      <c r="D191" s="141"/>
      <c r="E191" s="138"/>
      <c r="F191" s="138"/>
      <c r="G191" s="138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T191" s="67"/>
      <c r="U191" s="67"/>
      <c r="V191" s="67"/>
      <c r="W191" s="67"/>
      <c r="X191" s="67"/>
      <c r="Y191" s="67"/>
    </row>
    <row r="192" spans="1:25" ht="18.75">
      <c r="A192" s="138"/>
      <c r="B192" s="138"/>
      <c r="C192" s="143" t="s">
        <v>459</v>
      </c>
      <c r="D192" s="141"/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T192" s="67"/>
      <c r="U192" s="67"/>
      <c r="V192" s="67"/>
      <c r="W192" s="67"/>
      <c r="X192" s="67"/>
      <c r="Y192" s="67"/>
    </row>
    <row r="193" spans="1:25" ht="18.75">
      <c r="A193" s="138"/>
      <c r="B193" s="138"/>
      <c r="C193" s="138" t="s">
        <v>41</v>
      </c>
      <c r="D193" s="141"/>
      <c r="E193" s="138"/>
      <c r="F193" s="138"/>
      <c r="G193" s="138"/>
      <c r="H193" s="138"/>
      <c r="I193" s="138"/>
      <c r="J193" s="138"/>
      <c r="K193" s="138"/>
      <c r="L193" s="138"/>
      <c r="M193" s="138"/>
      <c r="N193" s="138"/>
      <c r="O193" s="138"/>
      <c r="P193" s="138"/>
      <c r="Q193" s="138"/>
      <c r="R193" s="138"/>
      <c r="T193" s="67"/>
      <c r="U193" s="67"/>
      <c r="V193" s="67"/>
      <c r="W193" s="67"/>
      <c r="X193" s="67"/>
      <c r="Y193" s="67"/>
    </row>
    <row r="194" spans="1:25" ht="18.75">
      <c r="A194" s="138"/>
      <c r="B194" s="138">
        <v>1</v>
      </c>
      <c r="C194" s="138" t="s">
        <v>97</v>
      </c>
      <c r="D194" s="137" t="s">
        <v>508</v>
      </c>
      <c r="E194" s="136">
        <f>'TISWADI '!D63</f>
        <v>25870.44654455996</v>
      </c>
      <c r="F194" s="136">
        <f>'TISWADI '!E63</f>
        <v>6852.730314123025</v>
      </c>
      <c r="G194" s="136">
        <f>'TISWADI '!F63</f>
        <v>32723.176858682986</v>
      </c>
      <c r="H194" s="136">
        <f>'TISWADI '!G63</f>
        <v>829.50006070271</v>
      </c>
      <c r="I194" s="136">
        <f>'TISWADI '!H63</f>
        <v>776.9438356376905</v>
      </c>
      <c r="J194" s="136">
        <f>'TISWADI '!I63</f>
        <v>34329.62075502339</v>
      </c>
      <c r="K194" s="136">
        <f>'TISWADI '!J63</f>
        <v>30842.07007743645</v>
      </c>
      <c r="L194" s="136">
        <f>'TISWADI '!K63</f>
        <v>10696.218053073093</v>
      </c>
      <c r="M194" s="136">
        <f>'TISWADI '!L63</f>
        <v>16336.042117420724</v>
      </c>
      <c r="N194" s="136">
        <f>'TISWADI '!M63</f>
        <v>22115.109792382973</v>
      </c>
      <c r="O194" s="136">
        <f>'TISWADI '!N63</f>
        <v>44.84</v>
      </c>
      <c r="P194" s="136">
        <f>'TISWADI '!O63</f>
        <v>274</v>
      </c>
      <c r="Q194" s="136">
        <f>'TISWADI '!P63</f>
        <v>572</v>
      </c>
      <c r="R194" s="136">
        <f>'TISWADI '!S63</f>
        <v>115209.90079533664</v>
      </c>
      <c r="T194" s="66">
        <v>28952.2050086863</v>
      </c>
      <c r="U194" s="66">
        <v>7698.80539635472</v>
      </c>
      <c r="V194" s="66">
        <v>36651.010405041</v>
      </c>
      <c r="W194" s="66">
        <v>7153.31749449974</v>
      </c>
      <c r="X194" s="66">
        <v>81246.4134712319</v>
      </c>
      <c r="Y194" s="66">
        <v>125049.741370773</v>
      </c>
    </row>
    <row r="195" spans="1:25" ht="18.75">
      <c r="A195" s="138"/>
      <c r="B195" s="138">
        <v>2</v>
      </c>
      <c r="C195" s="138" t="s">
        <v>98</v>
      </c>
      <c r="D195" s="137" t="s">
        <v>507</v>
      </c>
      <c r="E195" s="136">
        <f>'TISWADI '!D64</f>
        <v>0</v>
      </c>
      <c r="F195" s="136">
        <f>'TISWADI '!E64</f>
        <v>0</v>
      </c>
      <c r="G195" s="136">
        <f>'TISWADI '!F64</f>
        <v>0</v>
      </c>
      <c r="H195" s="136">
        <f>'TISWADI '!G64</f>
        <v>0</v>
      </c>
      <c r="I195" s="136">
        <f>'TISWADI '!H64</f>
        <v>0</v>
      </c>
      <c r="J195" s="136">
        <f>'TISWADI '!I64</f>
        <v>0</v>
      </c>
      <c r="K195" s="136">
        <f>'TISWADI '!J64</f>
        <v>590524.6006668969</v>
      </c>
      <c r="L195" s="136">
        <f>'TISWADI '!K64</f>
        <v>13955.019862354768</v>
      </c>
      <c r="M195" s="136">
        <f>'TISWADI '!L64</f>
        <v>21000.121244323644</v>
      </c>
      <c r="N195" s="136">
        <f>'TISWADI '!M64</f>
        <v>29462.226598763475</v>
      </c>
      <c r="O195" s="136">
        <f>'TISWADI '!N64</f>
        <v>44.84</v>
      </c>
      <c r="P195" s="136">
        <f>'TISWADI '!O64</f>
        <v>274</v>
      </c>
      <c r="Q195" s="136">
        <f>'TISWADI '!P64</f>
        <v>572</v>
      </c>
      <c r="R195" s="136">
        <f>'TISWADI '!S64</f>
        <v>655832.8083723388</v>
      </c>
      <c r="T195" s="66">
        <v>0</v>
      </c>
      <c r="U195" s="66">
        <v>0</v>
      </c>
      <c r="V195" s="66">
        <v>0</v>
      </c>
      <c r="W195" s="66">
        <v>136962.595126627</v>
      </c>
      <c r="X195" s="66">
        <v>105999.644744563</v>
      </c>
      <c r="Y195" s="66">
        <v>242963.23987119</v>
      </c>
    </row>
    <row r="196" spans="1:25" ht="18.75">
      <c r="A196" s="138"/>
      <c r="B196" s="138">
        <v>3</v>
      </c>
      <c r="C196" s="138" t="s">
        <v>99</v>
      </c>
      <c r="D196" s="137" t="s">
        <v>507</v>
      </c>
      <c r="E196" s="136">
        <f>'TISWADI '!D65</f>
        <v>56844.825254813644</v>
      </c>
      <c r="F196" s="136">
        <f>'TISWADI '!E65</f>
        <v>5144.93972654043</v>
      </c>
      <c r="G196" s="136">
        <f>'TISWADI '!F65</f>
        <v>61989.76498135408</v>
      </c>
      <c r="H196" s="136">
        <f>'TISWADI '!G65</f>
        <v>622.7777279782287</v>
      </c>
      <c r="I196" s="136">
        <f>'TISWADI '!H65</f>
        <v>583.3192059265516</v>
      </c>
      <c r="J196" s="136">
        <f>'TISWADI '!I65</f>
        <v>63195.86191525886</v>
      </c>
      <c r="K196" s="136">
        <f>'TISWADI '!J65</f>
        <v>23397.82953046512</v>
      </c>
      <c r="L196" s="136">
        <f>'TISWADI '!K65</f>
        <v>8557.320482353882</v>
      </c>
      <c r="M196" s="136">
        <f>'TISWADI '!L65</f>
        <v>13069.362191231383</v>
      </c>
      <c r="N196" s="136">
        <f>'TISWADI '!M65</f>
        <v>19292.867996579662</v>
      </c>
      <c r="O196" s="136">
        <f>'TISWADI '!N65</f>
        <v>44.84</v>
      </c>
      <c r="P196" s="136">
        <f>'TISWADI '!O65</f>
        <v>274</v>
      </c>
      <c r="Q196" s="136">
        <f>'TISWADI '!P65</f>
        <v>572</v>
      </c>
      <c r="R196" s="136">
        <f>'TISWADI '!S65</f>
        <v>128404.0821158889</v>
      </c>
      <c r="T196" s="66">
        <v>63750.8477440897</v>
      </c>
      <c r="U196" s="66">
        <v>5780.16176252783</v>
      </c>
      <c r="V196" s="66">
        <v>69531.0095066175</v>
      </c>
      <c r="W196" s="66">
        <v>5426.74674214055</v>
      </c>
      <c r="X196" s="66">
        <v>64999.7592294236</v>
      </c>
      <c r="Y196" s="66">
        <v>139957.515478182</v>
      </c>
    </row>
    <row r="197" spans="1:25" ht="18.75">
      <c r="A197" s="138"/>
      <c r="B197" s="138">
        <v>4</v>
      </c>
      <c r="C197" s="138" t="s">
        <v>100</v>
      </c>
      <c r="D197" s="137" t="s">
        <v>508</v>
      </c>
      <c r="E197" s="136">
        <f>'TISWADI '!D66</f>
        <v>29573.130013231475</v>
      </c>
      <c r="F197" s="136">
        <f>'TISWADI '!E66</f>
        <v>9242.852847146227</v>
      </c>
      <c r="G197" s="136">
        <f>'TISWADI '!F66</f>
        <v>38815.9828603777</v>
      </c>
      <c r="H197" s="136">
        <f>'TISWADI '!G66</f>
        <v>1118.8163908877223</v>
      </c>
      <c r="I197" s="136">
        <f>'TISWADI '!H66</f>
        <v>1047.9293966226285</v>
      </c>
      <c r="J197" s="136">
        <f>'TISWADI '!I66</f>
        <v>40982.72864788805</v>
      </c>
      <c r="K197" s="136">
        <f>'TISWADI '!J66</f>
        <v>1600.540504298552</v>
      </c>
      <c r="L197" s="136">
        <f>'TISWADI '!K66</f>
        <v>1766.0747595222222</v>
      </c>
      <c r="M197" s="136">
        <f>'TISWADI '!L66</f>
        <v>2697.27781454303</v>
      </c>
      <c r="N197" s="136">
        <f>'TISWADI '!M66</f>
        <v>3981.695821468283</v>
      </c>
      <c r="O197" s="136">
        <f>'TISWADI '!N66</f>
        <v>44.84</v>
      </c>
      <c r="P197" s="136">
        <f>'TISWADI '!O66</f>
        <v>274</v>
      </c>
      <c r="Q197" s="136">
        <f>'TISWADI '!P66</f>
        <v>572</v>
      </c>
      <c r="R197" s="136">
        <f>'TISWADI '!S66</f>
        <v>51919.157547720126</v>
      </c>
      <c r="T197" s="66">
        <v>32999.6952291614</v>
      </c>
      <c r="U197" s="66">
        <v>10384.0253614925</v>
      </c>
      <c r="V197" s="66">
        <v>43383.7205906539</v>
      </c>
      <c r="W197" s="66">
        <v>371.21938836493</v>
      </c>
      <c r="X197" s="66">
        <v>13414.7639306983</v>
      </c>
      <c r="Y197" s="66">
        <v>57169.7039097172</v>
      </c>
    </row>
    <row r="198" spans="1:25" ht="18.75">
      <c r="A198" s="138"/>
      <c r="B198" s="138">
        <v>5</v>
      </c>
      <c r="C198" s="138" t="s">
        <v>64</v>
      </c>
      <c r="D198" s="137" t="s">
        <v>508</v>
      </c>
      <c r="E198" s="136">
        <f>'TISWADI '!D67</f>
        <v>1368.2426458034076</v>
      </c>
      <c r="F198" s="136">
        <f>'TISWADI '!E67</f>
        <v>0</v>
      </c>
      <c r="G198" s="136">
        <f>'TISWADI '!F67</f>
        <v>1368.2426458034076</v>
      </c>
      <c r="H198" s="136">
        <f>'TISWADI '!G67</f>
        <v>0</v>
      </c>
      <c r="I198" s="136">
        <f>'TISWADI '!H67</f>
        <v>0</v>
      </c>
      <c r="J198" s="136">
        <f>'TISWADI '!I67</f>
        <v>1368.2426458034076</v>
      </c>
      <c r="K198" s="136">
        <f>'TISWADI '!J67</f>
        <v>0</v>
      </c>
      <c r="L198" s="136">
        <f>'TISWADI '!K67</f>
        <v>544.9058565193827</v>
      </c>
      <c r="M198" s="136">
        <f>'TISWADI '!L67</f>
        <v>832.2198535932389</v>
      </c>
      <c r="N198" s="136">
        <f>'TISWADI '!M67</f>
        <v>1228.515021970972</v>
      </c>
      <c r="O198" s="136">
        <f>'TISWADI '!N67</f>
        <v>44.84</v>
      </c>
      <c r="P198" s="136">
        <f>'TISWADI '!O67</f>
        <v>274</v>
      </c>
      <c r="Q198" s="136">
        <f>'TISWADI '!P67</f>
        <v>572</v>
      </c>
      <c r="R198" s="136">
        <f>'TISWADI '!S67</f>
        <v>4864.723377887001</v>
      </c>
      <c r="T198" s="66">
        <v>1481</v>
      </c>
      <c r="U198" s="66">
        <v>0</v>
      </c>
      <c r="V198" s="66">
        <v>1481</v>
      </c>
      <c r="W198" s="66">
        <v>0</v>
      </c>
      <c r="X198" s="66">
        <v>4139</v>
      </c>
      <c r="Y198" s="66">
        <v>5620</v>
      </c>
    </row>
    <row r="199" spans="1:25" ht="18.75">
      <c r="A199" s="138"/>
      <c r="B199" s="138">
        <v>6</v>
      </c>
      <c r="C199" s="138" t="s">
        <v>101</v>
      </c>
      <c r="D199" s="137" t="s">
        <v>507</v>
      </c>
      <c r="E199" s="136">
        <f>'TISWADI '!D68</f>
        <v>0</v>
      </c>
      <c r="F199" s="136">
        <f>'TISWADI '!E68</f>
        <v>0</v>
      </c>
      <c r="G199" s="136">
        <f>'TISWADI '!F68</f>
        <v>0</v>
      </c>
      <c r="H199" s="136">
        <f>'TISWADI '!G68</f>
        <v>0</v>
      </c>
      <c r="I199" s="136">
        <f>'TISWADI '!H68</f>
        <v>0</v>
      </c>
      <c r="J199" s="136">
        <f>'TISWADI '!I68</f>
        <v>0</v>
      </c>
      <c r="K199" s="136">
        <f>'TISWADI '!J68</f>
        <v>0</v>
      </c>
      <c r="L199" s="136">
        <f>'TISWADI '!K68</f>
        <v>238.15769375297492</v>
      </c>
      <c r="M199" s="136">
        <f>'TISWADI '!L68</f>
        <v>363.73175045908897</v>
      </c>
      <c r="N199" s="136">
        <f>'TISWADI '!M68</f>
        <v>536.937345915798</v>
      </c>
      <c r="O199" s="136">
        <f>'TISWADI '!N68</f>
        <v>44.84</v>
      </c>
      <c r="P199" s="136">
        <f>'TISWADI '!O68</f>
        <v>274</v>
      </c>
      <c r="Q199" s="136">
        <f>'TISWADI '!P68</f>
        <v>572</v>
      </c>
      <c r="R199" s="136">
        <f>'TISWADI '!S68</f>
        <v>2029.6667901278618</v>
      </c>
      <c r="T199" s="66">
        <v>0</v>
      </c>
      <c r="U199" s="66">
        <v>0</v>
      </c>
      <c r="V199" s="66">
        <v>0</v>
      </c>
      <c r="W199" s="66">
        <v>0</v>
      </c>
      <c r="X199" s="66">
        <v>1809</v>
      </c>
      <c r="Y199" s="66">
        <v>1809</v>
      </c>
    </row>
    <row r="200" spans="1:25" ht="18.75">
      <c r="A200" s="138"/>
      <c r="B200" s="138">
        <v>7</v>
      </c>
      <c r="C200" s="138" t="s">
        <v>102</v>
      </c>
      <c r="D200" s="137" t="s">
        <v>507</v>
      </c>
      <c r="E200" s="136">
        <f>'TISWADI '!D69</f>
        <v>0</v>
      </c>
      <c r="F200" s="136">
        <f>'TISWADI '!E69</f>
        <v>0</v>
      </c>
      <c r="G200" s="136">
        <f>'TISWADI '!F69</f>
        <v>0</v>
      </c>
      <c r="H200" s="136">
        <f>'TISWADI '!G69</f>
        <v>0</v>
      </c>
      <c r="I200" s="136">
        <f>'TISWADI '!H69</f>
        <v>0</v>
      </c>
      <c r="J200" s="136">
        <f>'TISWADI '!I69</f>
        <v>0</v>
      </c>
      <c r="K200" s="136">
        <f>'TISWADI '!J69</f>
        <v>2130.215779102385</v>
      </c>
      <c r="L200" s="136">
        <f>'TISWADI '!K69</f>
        <v>5886.400260443925</v>
      </c>
      <c r="M200" s="136">
        <f>'TISWADI '!L69</f>
        <v>8990.138579587085</v>
      </c>
      <c r="N200" s="136">
        <f>'TISWADI '!M69</f>
        <v>13271.15695081903</v>
      </c>
      <c r="O200" s="136">
        <f>'TISWADI '!N69</f>
        <v>44.84</v>
      </c>
      <c r="P200" s="136">
        <f>'TISWADI '!O69</f>
        <v>274</v>
      </c>
      <c r="Q200" s="136">
        <f>'TISWADI '!P69</f>
        <v>572</v>
      </c>
      <c r="R200" s="136">
        <f>'TISWADI '!S69</f>
        <v>31168.751569952427</v>
      </c>
      <c r="T200" s="66">
        <v>0</v>
      </c>
      <c r="U200" s="66">
        <v>0</v>
      </c>
      <c r="V200" s="66">
        <v>0</v>
      </c>
      <c r="W200" s="66">
        <v>494.068970125985</v>
      </c>
      <c r="X200" s="66">
        <v>44711.9633354698</v>
      </c>
      <c r="Y200" s="66">
        <v>45206.0323055957</v>
      </c>
    </row>
    <row r="201" spans="1:25" ht="18.75">
      <c r="A201" s="138">
        <v>7</v>
      </c>
      <c r="B201" s="138"/>
      <c r="C201" s="138" t="s">
        <v>78</v>
      </c>
      <c r="D201" s="137"/>
      <c r="E201" s="136">
        <f>'TISWADI '!D70</f>
        <v>113656.64445840848</v>
      </c>
      <c r="F201" s="136">
        <f>'TISWADI '!E70</f>
        <v>21240.522887809682</v>
      </c>
      <c r="G201" s="136">
        <f>'TISWADI '!F70</f>
        <v>134897.16734621816</v>
      </c>
      <c r="H201" s="136">
        <f>'TISWADI '!G70</f>
        <v>2571.094179568661</v>
      </c>
      <c r="I201" s="136">
        <f>'TISWADI '!H70</f>
        <v>2408.1924381868707</v>
      </c>
      <c r="J201" s="136">
        <f>'TISWADI '!I70</f>
        <v>139876.4539639737</v>
      </c>
      <c r="K201" s="136">
        <f>'TISWADI '!J70</f>
        <v>648495.2565581993</v>
      </c>
      <c r="L201" s="136">
        <f>'TISWADI '!K70</f>
        <v>41644.09696802025</v>
      </c>
      <c r="M201" s="136">
        <f>'TISWADI '!L70</f>
        <v>63288.89355115819</v>
      </c>
      <c r="N201" s="136">
        <f>'TISWADI '!M70</f>
        <v>89888.5095279002</v>
      </c>
      <c r="O201" s="136">
        <f>'TISWADI '!N70</f>
        <v>313.88</v>
      </c>
      <c r="P201" s="136">
        <f>'TISWADI '!O70</f>
        <v>1918</v>
      </c>
      <c r="Q201" s="136">
        <f>'TISWADI '!P70</f>
        <v>4004</v>
      </c>
      <c r="R201" s="136">
        <f>'TISWADI '!S70</f>
        <v>989429.0905692519</v>
      </c>
      <c r="T201" s="66">
        <v>127183.747981937</v>
      </c>
      <c r="U201" s="66">
        <v>23862.992520375</v>
      </c>
      <c r="V201" s="66">
        <v>151046.740502312</v>
      </c>
      <c r="W201" s="66">
        <v>150407.947721758</v>
      </c>
      <c r="X201" s="66">
        <v>316320.544711387</v>
      </c>
      <c r="Y201" s="66">
        <v>617776.232935458</v>
      </c>
    </row>
    <row r="202" spans="1:25" ht="18.75">
      <c r="A202" s="138"/>
      <c r="B202" s="138"/>
      <c r="C202" s="138"/>
      <c r="D202" s="141"/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T202" s="67"/>
      <c r="U202" s="67"/>
      <c r="V202" s="67"/>
      <c r="W202" s="67"/>
      <c r="X202" s="67"/>
      <c r="Y202" s="67"/>
    </row>
    <row r="203" spans="1:25" ht="18.75">
      <c r="A203" s="138"/>
      <c r="B203" s="138"/>
      <c r="C203" s="138" t="s">
        <v>42</v>
      </c>
      <c r="D203" s="141"/>
      <c r="E203" s="138"/>
      <c r="F203" s="138"/>
      <c r="G203" s="138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T203" s="67"/>
      <c r="U203" s="67"/>
      <c r="V203" s="67"/>
      <c r="W203" s="67"/>
      <c r="X203" s="67"/>
      <c r="Y203" s="67"/>
    </row>
    <row r="204" spans="1:25" ht="18.75">
      <c r="A204" s="138"/>
      <c r="B204" s="138">
        <v>8</v>
      </c>
      <c r="C204" s="138" t="s">
        <v>238</v>
      </c>
      <c r="D204" s="137" t="s">
        <v>507</v>
      </c>
      <c r="E204" s="136">
        <f>BARDEZ!D52</f>
        <v>30723.295878299134</v>
      </c>
      <c r="F204" s="136">
        <f>BARDEZ!E52</f>
        <v>34906.7690364327</v>
      </c>
      <c r="G204" s="136">
        <f>BARDEZ!F52</f>
        <v>65630.06491473183</v>
      </c>
      <c r="H204" s="136">
        <f>BARDEZ!G52</f>
        <v>4225.34751951083</v>
      </c>
      <c r="I204" s="136">
        <f>BARDEZ!H52</f>
        <v>3957.6340789292735</v>
      </c>
      <c r="J204" s="136">
        <f>BARDEZ!I52</f>
        <v>73813.04651317194</v>
      </c>
      <c r="K204" s="136">
        <f>BARDEZ!J52</f>
        <v>247030.18495661128</v>
      </c>
      <c r="L204" s="136">
        <f>BARDEZ!K52</f>
        <v>9324.580835638155</v>
      </c>
      <c r="M204" s="136">
        <f>BARDEZ!L52</f>
        <v>14241.178003520092</v>
      </c>
      <c r="N204" s="136">
        <f>BARDEZ!M52</f>
        <v>21022.69133852966</v>
      </c>
      <c r="O204" s="136">
        <f>BARDEZ!N52</f>
        <v>39.2375</v>
      </c>
      <c r="P204" s="136">
        <f>BARDEZ!O52</f>
        <v>242.5</v>
      </c>
      <c r="Q204" s="136">
        <f>BARDEZ!P52</f>
        <v>495</v>
      </c>
      <c r="R204" s="136">
        <f>BARDEZ!R52</f>
        <v>366208.4191474711</v>
      </c>
      <c r="T204" s="66">
        <v>34195.9661190941</v>
      </c>
      <c r="U204" s="66">
        <v>39216.5472020896</v>
      </c>
      <c r="V204" s="66">
        <v>73412.5133211837</v>
      </c>
      <c r="W204" s="66">
        <v>57294.6413545829</v>
      </c>
      <c r="X204" s="66">
        <v>70827.7211869781</v>
      </c>
      <c r="Y204" s="66">
        <v>201535.875862745</v>
      </c>
    </row>
    <row r="205" spans="1:25" ht="18.75">
      <c r="A205" s="138"/>
      <c r="B205" s="138">
        <v>9</v>
      </c>
      <c r="C205" s="138" t="s">
        <v>239</v>
      </c>
      <c r="D205" s="137" t="s">
        <v>508</v>
      </c>
      <c r="E205" s="136">
        <f>BARDEZ!D53</f>
        <v>13522.631799985387</v>
      </c>
      <c r="F205" s="136">
        <f>BARDEZ!E53</f>
        <v>1121.3800901043205</v>
      </c>
      <c r="G205" s="136">
        <f>BARDEZ!F53</f>
        <v>14644.011890089707</v>
      </c>
      <c r="H205" s="136">
        <f>BARDEZ!G53</f>
        <v>135.73930538245386</v>
      </c>
      <c r="I205" s="136">
        <f>BARDEZ!H53</f>
        <v>127.13901006986987</v>
      </c>
      <c r="J205" s="136">
        <f>BARDEZ!I53</f>
        <v>14906.890205542031</v>
      </c>
      <c r="K205" s="136">
        <f>BARDEZ!J53</f>
        <v>10777.740374269373</v>
      </c>
      <c r="L205" s="136">
        <f>BARDEZ!K53</f>
        <v>5333.796290176746</v>
      </c>
      <c r="M205" s="136">
        <f>BARDEZ!L53</f>
        <v>8146.1616068153935</v>
      </c>
      <c r="N205" s="136">
        <f>BARDEZ!M53</f>
        <v>12025.286181489391</v>
      </c>
      <c r="O205" s="136">
        <f>BARDEZ!N53</f>
        <v>39.2375</v>
      </c>
      <c r="P205" s="136">
        <f>BARDEZ!O53</f>
        <v>242.5</v>
      </c>
      <c r="Q205" s="136">
        <f>BARDEZ!P53</f>
        <v>495</v>
      </c>
      <c r="R205" s="136">
        <f>BARDEZ!R53</f>
        <v>51966.61215829294</v>
      </c>
      <c r="T205" s="66">
        <v>15024.2060412228</v>
      </c>
      <c r="U205" s="66">
        <v>1156.47291361552</v>
      </c>
      <c r="V205" s="66">
        <v>16179.6789548383</v>
      </c>
      <c r="W205" s="66">
        <v>2499.72192452931</v>
      </c>
      <c r="X205" s="66">
        <v>40514.4899452118</v>
      </c>
      <c r="Y205" s="66">
        <v>59193.8908245794</v>
      </c>
    </row>
    <row r="206" spans="1:25" ht="18.75">
      <c r="A206" s="138"/>
      <c r="B206" s="138">
        <v>10</v>
      </c>
      <c r="C206" s="138" t="s">
        <v>240</v>
      </c>
      <c r="D206" s="137" t="s">
        <v>508</v>
      </c>
      <c r="E206" s="136">
        <f>BARDEZ!D54</f>
        <v>33397.17114178329</v>
      </c>
      <c r="F206" s="136">
        <f>BARDEZ!E54</f>
        <v>34908.7297604138</v>
      </c>
      <c r="G206" s="136">
        <f>BARDEZ!F54</f>
        <v>68305.90090219709</v>
      </c>
      <c r="H206" s="136">
        <f>BARDEZ!G54</f>
        <v>4225.584858583988</v>
      </c>
      <c r="I206" s="136">
        <f>BARDEZ!H54</f>
        <v>3957.856380455917</v>
      </c>
      <c r="J206" s="136">
        <f>BARDEZ!I54</f>
        <v>76489.342141237</v>
      </c>
      <c r="K206" s="136">
        <f>BARDEZ!J54</f>
        <v>6505.794136177573</v>
      </c>
      <c r="L206" s="136">
        <f>BARDEZ!K54</f>
        <v>2797.79962451135</v>
      </c>
      <c r="M206" s="136">
        <f>BARDEZ!L54</f>
        <v>4273.003062890061</v>
      </c>
      <c r="N206" s="136">
        <f>BARDEZ!M54</f>
        <v>6307.766426171043</v>
      </c>
      <c r="O206" s="136">
        <f>BARDEZ!N54</f>
        <v>39.2375</v>
      </c>
      <c r="P206" s="136">
        <f>BARDEZ!O54</f>
        <v>242.5</v>
      </c>
      <c r="Q206" s="136">
        <f>BARDEZ!P54</f>
        <v>495</v>
      </c>
      <c r="R206" s="136">
        <f>BARDEZ!R54</f>
        <v>97150.44289098702</v>
      </c>
      <c r="T206" s="66">
        <v>37133.421437956</v>
      </c>
      <c r="U206" s="66">
        <v>39218.7500076393</v>
      </c>
      <c r="V206" s="66">
        <v>76352.1714455953</v>
      </c>
      <c r="W206" s="66">
        <v>1508.91334119558</v>
      </c>
      <c r="X206" s="66">
        <v>21251.5474137514</v>
      </c>
      <c r="Y206" s="66">
        <v>99112.6322005423</v>
      </c>
    </row>
    <row r="207" spans="1:25" ht="18.75">
      <c r="A207" s="138"/>
      <c r="B207" s="138">
        <v>11</v>
      </c>
      <c r="C207" s="138" t="s">
        <v>241</v>
      </c>
      <c r="D207" s="137" t="s">
        <v>508</v>
      </c>
      <c r="E207" s="136">
        <f>BARDEZ!D55</f>
        <v>18648.076575722134</v>
      </c>
      <c r="F207" s="136">
        <f>BARDEZ!E55</f>
        <v>6982.138096878993</v>
      </c>
      <c r="G207" s="136">
        <f>BARDEZ!F55</f>
        <v>25630.214672601127</v>
      </c>
      <c r="H207" s="136">
        <f>BARDEZ!G55</f>
        <v>845.1644395314303</v>
      </c>
      <c r="I207" s="136">
        <f>BARDEZ!H55</f>
        <v>791.6157363965134</v>
      </c>
      <c r="J207" s="136">
        <f>BARDEZ!I55</f>
        <v>27266.99484852907</v>
      </c>
      <c r="K207" s="136">
        <f>BARDEZ!J55</f>
        <v>4070.439340068613</v>
      </c>
      <c r="L207" s="136">
        <f>BARDEZ!K55</f>
        <v>7473.818015608957</v>
      </c>
      <c r="M207" s="136">
        <f>BARDEZ!L55</f>
        <v>11414.558423839135</v>
      </c>
      <c r="N207" s="136">
        <f>BARDEZ!M55</f>
        <v>16850.062435191103</v>
      </c>
      <c r="O207" s="136">
        <f>BARDEZ!N55</f>
        <v>39.2375</v>
      </c>
      <c r="P207" s="136">
        <f>BARDEZ!O55</f>
        <v>242.5</v>
      </c>
      <c r="Q207" s="136">
        <f>BARDEZ!P55</f>
        <v>495</v>
      </c>
      <c r="R207" s="136">
        <f>BARDEZ!R55</f>
        <v>67852.61056323689</v>
      </c>
      <c r="T207" s="66">
        <v>20718.7882425707</v>
      </c>
      <c r="U207" s="66">
        <v>7844.19056263781</v>
      </c>
      <c r="V207" s="66">
        <v>28562.9788052085</v>
      </c>
      <c r="W207" s="66">
        <v>944.072329402896</v>
      </c>
      <c r="X207" s="66">
        <v>56769.6830498373</v>
      </c>
      <c r="Y207" s="66">
        <v>86276.7341844487</v>
      </c>
    </row>
    <row r="208" spans="1:25" ht="18.75">
      <c r="A208" s="138"/>
      <c r="B208" s="138">
        <v>12</v>
      </c>
      <c r="C208" s="138" t="s">
        <v>242</v>
      </c>
      <c r="D208" s="137" t="s">
        <v>508</v>
      </c>
      <c r="E208" s="136">
        <f>BARDEZ!D56</f>
        <v>0</v>
      </c>
      <c r="F208" s="136">
        <f>BARDEZ!E56</f>
        <v>0</v>
      </c>
      <c r="G208" s="136">
        <f>BARDEZ!F56</f>
        <v>0</v>
      </c>
      <c r="H208" s="136">
        <f>BARDEZ!G56</f>
        <v>0</v>
      </c>
      <c r="I208" s="136">
        <f>BARDEZ!H56</f>
        <v>0</v>
      </c>
      <c r="J208" s="136">
        <f>BARDEZ!I56</f>
        <v>0</v>
      </c>
      <c r="K208" s="136">
        <f>BARDEZ!J56</f>
        <v>522.8832764606358</v>
      </c>
      <c r="L208" s="136">
        <f>BARDEZ!K56</f>
        <v>399.62975811919983</v>
      </c>
      <c r="M208" s="136">
        <f>BARDEZ!L56</f>
        <v>610.3436305820507</v>
      </c>
      <c r="N208" s="136">
        <f>BARDEZ!M56</f>
        <v>900.9834546687415</v>
      </c>
      <c r="O208" s="136">
        <f>BARDEZ!N56</f>
        <v>39.2375</v>
      </c>
      <c r="P208" s="136">
        <f>BARDEZ!O56</f>
        <v>242.5</v>
      </c>
      <c r="Q208" s="136">
        <f>BARDEZ!P56</f>
        <v>495</v>
      </c>
      <c r="R208" s="136">
        <f>BARDEZ!R56</f>
        <v>3210.577619830628</v>
      </c>
      <c r="T208" s="66">
        <v>0</v>
      </c>
      <c r="U208" s="66">
        <v>0</v>
      </c>
      <c r="V208" s="66">
        <v>0</v>
      </c>
      <c r="W208" s="66">
        <v>121.274288</v>
      </c>
      <c r="X208" s="66">
        <v>3035.51072</v>
      </c>
      <c r="Y208" s="66">
        <v>3156.785008</v>
      </c>
    </row>
    <row r="209" spans="1:25" ht="18.75">
      <c r="A209" s="138"/>
      <c r="B209" s="138">
        <v>13</v>
      </c>
      <c r="C209" s="138" t="s">
        <v>243</v>
      </c>
      <c r="D209" s="137" t="s">
        <v>508</v>
      </c>
      <c r="E209" s="136">
        <f>BARDEZ!D57</f>
        <v>0</v>
      </c>
      <c r="F209" s="136">
        <f>BARDEZ!E57</f>
        <v>0</v>
      </c>
      <c r="G209" s="136">
        <f>BARDEZ!F57</f>
        <v>0</v>
      </c>
      <c r="H209" s="136">
        <f>BARDEZ!G57</f>
        <v>0</v>
      </c>
      <c r="I209" s="136">
        <f>BARDEZ!H57</f>
        <v>0</v>
      </c>
      <c r="J209" s="136">
        <f>BARDEZ!I57</f>
        <v>0</v>
      </c>
      <c r="K209" s="136">
        <f>BARDEZ!J57</f>
        <v>522.8832764606358</v>
      </c>
      <c r="L209" s="136">
        <f>BARDEZ!K57</f>
        <v>399.62975811919983</v>
      </c>
      <c r="M209" s="136">
        <f>BARDEZ!L57</f>
        <v>610.3436305820507</v>
      </c>
      <c r="N209" s="136">
        <f>BARDEZ!M57</f>
        <v>900.9834546687415</v>
      </c>
      <c r="O209" s="136">
        <f>BARDEZ!N57</f>
        <v>39.2375</v>
      </c>
      <c r="P209" s="136">
        <f>BARDEZ!O57</f>
        <v>242.5</v>
      </c>
      <c r="Q209" s="136">
        <f>BARDEZ!P57</f>
        <v>495</v>
      </c>
      <c r="R209" s="136">
        <f>BARDEZ!R57</f>
        <v>3210.577619830628</v>
      </c>
      <c r="T209" s="66">
        <v>0</v>
      </c>
      <c r="U209" s="66">
        <v>0</v>
      </c>
      <c r="V209" s="66">
        <v>0</v>
      </c>
      <c r="W209" s="66">
        <v>121.274288</v>
      </c>
      <c r="X209" s="66">
        <v>3035.51072</v>
      </c>
      <c r="Y209" s="66">
        <v>3156.785008</v>
      </c>
    </row>
    <row r="210" spans="1:25" ht="18.75">
      <c r="A210" s="138"/>
      <c r="B210" s="138">
        <v>14</v>
      </c>
      <c r="C210" s="138" t="s">
        <v>244</v>
      </c>
      <c r="D210" s="137" t="s">
        <v>508</v>
      </c>
      <c r="E210" s="136">
        <f>BARDEZ!D58</f>
        <v>0</v>
      </c>
      <c r="F210" s="136">
        <f>BARDEZ!E58</f>
        <v>0</v>
      </c>
      <c r="G210" s="136">
        <f>BARDEZ!F58</f>
        <v>0</v>
      </c>
      <c r="H210" s="136">
        <f>BARDEZ!G58</f>
        <v>0</v>
      </c>
      <c r="I210" s="136">
        <f>BARDEZ!H58</f>
        <v>0</v>
      </c>
      <c r="J210" s="136">
        <f>BARDEZ!I58</f>
        <v>0</v>
      </c>
      <c r="K210" s="136">
        <f>BARDEZ!J58</f>
        <v>0</v>
      </c>
      <c r="L210" s="136">
        <f>BARDEZ!K58</f>
        <v>394.95471600825033</v>
      </c>
      <c r="M210" s="136">
        <f>BARDEZ!L58</f>
        <v>603.2035662671459</v>
      </c>
      <c r="N210" s="136">
        <f>BARDEZ!M58</f>
        <v>890.4433597276916</v>
      </c>
      <c r="O210" s="136">
        <f>BARDEZ!N58</f>
        <v>39.2375</v>
      </c>
      <c r="P210" s="136">
        <f>BARDEZ!O58</f>
        <v>242.5</v>
      </c>
      <c r="Q210" s="136">
        <f>BARDEZ!P58</f>
        <v>495</v>
      </c>
      <c r="R210" s="136">
        <f>BARDEZ!R58</f>
        <v>2665.3391420030875</v>
      </c>
      <c r="T210" s="66">
        <v>0</v>
      </c>
      <c r="U210" s="66">
        <v>0</v>
      </c>
      <c r="V210" s="66">
        <v>0</v>
      </c>
      <c r="W210" s="66">
        <v>0</v>
      </c>
      <c r="X210" s="66">
        <v>3000</v>
      </c>
      <c r="Y210" s="66">
        <v>3000</v>
      </c>
    </row>
    <row r="211" spans="1:25" ht="18.75">
      <c r="A211" s="138"/>
      <c r="B211" s="138">
        <v>15</v>
      </c>
      <c r="C211" s="138" t="s">
        <v>245</v>
      </c>
      <c r="D211" s="137" t="s">
        <v>508</v>
      </c>
      <c r="E211" s="136">
        <f>BARDEZ!D59</f>
        <v>0</v>
      </c>
      <c r="F211" s="136">
        <f>BARDEZ!E59</f>
        <v>0</v>
      </c>
      <c r="G211" s="136">
        <f>BARDEZ!F59</f>
        <v>0</v>
      </c>
      <c r="H211" s="136">
        <f>BARDEZ!G59</f>
        <v>0</v>
      </c>
      <c r="I211" s="136">
        <f>BARDEZ!H59</f>
        <v>0</v>
      </c>
      <c r="J211" s="136">
        <f>BARDEZ!I59</f>
        <v>0</v>
      </c>
      <c r="K211" s="136">
        <f>BARDEZ!J59</f>
        <v>0</v>
      </c>
      <c r="L211" s="136">
        <f>BARDEZ!K59</f>
        <v>394.95471600825033</v>
      </c>
      <c r="M211" s="136">
        <f>BARDEZ!L59</f>
        <v>603.2035662671459</v>
      </c>
      <c r="N211" s="136">
        <f>BARDEZ!M59</f>
        <v>890.4433597276916</v>
      </c>
      <c r="O211" s="136">
        <f>BARDEZ!N59</f>
        <v>39.2375</v>
      </c>
      <c r="P211" s="136">
        <f>BARDEZ!O59</f>
        <v>242.5</v>
      </c>
      <c r="Q211" s="136">
        <f>BARDEZ!P59</f>
        <v>495</v>
      </c>
      <c r="R211" s="136">
        <f>BARDEZ!R59</f>
        <v>2665.3391420030875</v>
      </c>
      <c r="T211" s="66">
        <v>0</v>
      </c>
      <c r="U211" s="66">
        <v>0</v>
      </c>
      <c r="V211" s="66">
        <v>0</v>
      </c>
      <c r="W211" s="66">
        <v>0</v>
      </c>
      <c r="X211" s="66">
        <v>3000</v>
      </c>
      <c r="Y211" s="66">
        <v>3000</v>
      </c>
    </row>
    <row r="212" spans="1:25" ht="18.75">
      <c r="A212" s="138"/>
      <c r="B212" s="138">
        <v>16</v>
      </c>
      <c r="C212" s="138" t="s">
        <v>235</v>
      </c>
      <c r="D212" s="137" t="s">
        <v>507</v>
      </c>
      <c r="E212" s="136">
        <f>BARDEZ!D60</f>
        <v>0</v>
      </c>
      <c r="F212" s="136">
        <f>BARDEZ!E60</f>
        <v>0</v>
      </c>
      <c r="G212" s="136">
        <f>BARDEZ!F60</f>
        <v>0</v>
      </c>
      <c r="H212" s="136">
        <f>BARDEZ!G60</f>
        <v>0</v>
      </c>
      <c r="I212" s="136">
        <f>BARDEZ!H60</f>
        <v>0</v>
      </c>
      <c r="J212" s="136">
        <f>BARDEZ!I60</f>
        <v>0</v>
      </c>
      <c r="K212" s="136">
        <f>BARDEZ!J60</f>
        <v>0</v>
      </c>
      <c r="L212" s="136">
        <f>BARDEZ!K60</f>
        <v>394.95471600825033</v>
      </c>
      <c r="M212" s="136">
        <f>BARDEZ!L60</f>
        <v>603.2035662671459</v>
      </c>
      <c r="N212" s="136">
        <f>BARDEZ!M60</f>
        <v>890.4433597276916</v>
      </c>
      <c r="O212" s="136">
        <f>BARDEZ!N60</f>
        <v>39.2375</v>
      </c>
      <c r="P212" s="136">
        <f>BARDEZ!O60</f>
        <v>242.5</v>
      </c>
      <c r="Q212" s="136">
        <f>BARDEZ!P60</f>
        <v>495</v>
      </c>
      <c r="R212" s="136">
        <f>BARDEZ!R60</f>
        <v>2665.3391420030875</v>
      </c>
      <c r="T212" s="66">
        <v>0</v>
      </c>
      <c r="U212" s="66">
        <v>0</v>
      </c>
      <c r="V212" s="66">
        <v>0</v>
      </c>
      <c r="W212" s="66">
        <v>0</v>
      </c>
      <c r="X212" s="66">
        <v>3000</v>
      </c>
      <c r="Y212" s="66">
        <v>3000</v>
      </c>
    </row>
    <row r="213" spans="1:25" ht="18.75">
      <c r="A213" s="138"/>
      <c r="B213" s="138">
        <v>17</v>
      </c>
      <c r="C213" s="138" t="s">
        <v>246</v>
      </c>
      <c r="D213" s="137" t="s">
        <v>507</v>
      </c>
      <c r="E213" s="136">
        <f>BARDEZ!D61</f>
        <v>4993.037452363538</v>
      </c>
      <c r="F213" s="136">
        <f>BARDEZ!E61</f>
        <v>0</v>
      </c>
      <c r="G213" s="136">
        <f>BARDEZ!F61</f>
        <v>4993.037452363538</v>
      </c>
      <c r="H213" s="136">
        <f>BARDEZ!G61</f>
        <v>0</v>
      </c>
      <c r="I213" s="136">
        <f>BARDEZ!H61</f>
        <v>0</v>
      </c>
      <c r="J213" s="136">
        <f>BARDEZ!I61</f>
        <v>4993.037452363538</v>
      </c>
      <c r="K213" s="136">
        <f>BARDEZ!J61</f>
        <v>0</v>
      </c>
      <c r="L213" s="136">
        <f>BARDEZ!K61</f>
        <v>1689.5074719405807</v>
      </c>
      <c r="M213" s="136">
        <f>BARDEZ!L61</f>
        <v>2580.338684418341</v>
      </c>
      <c r="N213" s="136">
        <f>BARDEZ!M61</f>
        <v>3809.071391284218</v>
      </c>
      <c r="O213" s="136">
        <f>BARDEZ!N61</f>
        <v>39.2375</v>
      </c>
      <c r="P213" s="136">
        <f>BARDEZ!O61</f>
        <v>242.5</v>
      </c>
      <c r="Q213" s="136">
        <f>BARDEZ!P61</f>
        <v>495</v>
      </c>
      <c r="R213" s="136">
        <f>BARDEZ!R61</f>
        <v>13848.692500006677</v>
      </c>
      <c r="T213" s="66">
        <v>5547.4721611464</v>
      </c>
      <c r="U213" s="66">
        <v>0</v>
      </c>
      <c r="V213" s="66">
        <v>5547.4721611464</v>
      </c>
      <c r="W213" s="66">
        <v>0</v>
      </c>
      <c r="X213" s="66">
        <v>12833.1735522709</v>
      </c>
      <c r="Y213" s="66">
        <v>18379.6457134173</v>
      </c>
    </row>
    <row r="214" spans="1:25" ht="18.75">
      <c r="A214" s="138">
        <v>10</v>
      </c>
      <c r="B214" s="138"/>
      <c r="C214" s="138" t="s">
        <v>78</v>
      </c>
      <c r="D214" s="137"/>
      <c r="E214" s="136">
        <f>BARDEZ!D62</f>
        <v>101284.21284815349</v>
      </c>
      <c r="F214" s="136">
        <f>BARDEZ!E62</f>
        <v>77919.01698382982</v>
      </c>
      <c r="G214" s="136">
        <f>BARDEZ!F62</f>
        <v>179203.22983198328</v>
      </c>
      <c r="H214" s="136">
        <f>BARDEZ!G62</f>
        <v>9431.836123008703</v>
      </c>
      <c r="I214" s="136">
        <f>BARDEZ!H62</f>
        <v>8834.245205851574</v>
      </c>
      <c r="J214" s="136">
        <f>BARDEZ!I62</f>
        <v>197469.3111608436</v>
      </c>
      <c r="K214" s="136">
        <f>BARDEZ!J62</f>
        <v>269429.92536004813</v>
      </c>
      <c r="L214" s="136">
        <f>BARDEZ!K62</f>
        <v>28603.62590213894</v>
      </c>
      <c r="M214" s="136">
        <f>BARDEZ!L62</f>
        <v>43685.537741448556</v>
      </c>
      <c r="N214" s="136">
        <f>BARDEZ!M62</f>
        <v>64488.17476118599</v>
      </c>
      <c r="O214" s="136">
        <f>BARDEZ!N62</f>
        <v>392.37500000000006</v>
      </c>
      <c r="P214" s="136">
        <f>BARDEZ!O62</f>
        <v>2425</v>
      </c>
      <c r="Q214" s="136">
        <f>BARDEZ!P62</f>
        <v>4950</v>
      </c>
      <c r="R214" s="136">
        <f>BARDEZ!R62</f>
        <v>611443.9499256652</v>
      </c>
      <c r="T214" s="66">
        <v>112618.85400199</v>
      </c>
      <c r="U214" s="66">
        <v>87435.9606859823</v>
      </c>
      <c r="V214" s="66">
        <v>200054.814687972</v>
      </c>
      <c r="W214" s="66">
        <v>62489.8975257107</v>
      </c>
      <c r="X214" s="66">
        <v>217268.636588049</v>
      </c>
      <c r="Y214" s="66">
        <v>479814.348801732</v>
      </c>
    </row>
    <row r="215" spans="1:25" ht="18.75">
      <c r="A215" s="138"/>
      <c r="B215" s="138"/>
      <c r="C215" s="138"/>
      <c r="D215" s="141"/>
      <c r="E215" s="138"/>
      <c r="F215" s="138"/>
      <c r="G215" s="138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T215" s="67"/>
      <c r="U215" s="67"/>
      <c r="V215" s="67"/>
      <c r="W215" s="67"/>
      <c r="X215" s="67"/>
      <c r="Y215" s="67"/>
    </row>
    <row r="216" spans="1:25" ht="18.75">
      <c r="A216" s="138"/>
      <c r="B216" s="138"/>
      <c r="C216" s="138" t="s">
        <v>43</v>
      </c>
      <c r="D216" s="141"/>
      <c r="E216" s="138"/>
      <c r="F216" s="138"/>
      <c r="G216" s="138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  <c r="R216" s="138"/>
      <c r="T216" s="67"/>
      <c r="U216" s="67"/>
      <c r="V216" s="67"/>
      <c r="W216" s="67"/>
      <c r="X216" s="67"/>
      <c r="Y216" s="67"/>
    </row>
    <row r="217" spans="1:25" ht="18.75">
      <c r="A217" s="138"/>
      <c r="B217" s="138">
        <v>23</v>
      </c>
      <c r="C217" s="138" t="s">
        <v>370</v>
      </c>
      <c r="D217" s="137" t="s">
        <v>507</v>
      </c>
      <c r="E217" s="136">
        <f>BICHOLIM!D27</f>
        <v>40004.09647462527</v>
      </c>
      <c r="F217" s="136">
        <f>BICHOLIM!E27</f>
        <v>3023.4363789349645</v>
      </c>
      <c r="G217" s="136">
        <f>BICHOLIM!F27</f>
        <v>43027.53285356024</v>
      </c>
      <c r="H217" s="136">
        <f>BICHOLIM!G27</f>
        <v>365.9768508164745</v>
      </c>
      <c r="I217" s="136">
        <f>BICHOLIM!H27</f>
        <v>342.7889540925088</v>
      </c>
      <c r="J217" s="136">
        <f>BICHOLIM!I27</f>
        <v>43736.298658469226</v>
      </c>
      <c r="K217" s="136">
        <f>BICHOLIM!J27</f>
        <v>11543.466586757535</v>
      </c>
      <c r="L217" s="136">
        <f>BICHOLIM!K27</f>
        <v>21875.42874346685</v>
      </c>
      <c r="M217" s="136">
        <f>BICHOLIM!L27</f>
        <v>35409.74571729483</v>
      </c>
      <c r="N217" s="136">
        <f>BICHOLIM!M27</f>
        <v>51319.14843981618</v>
      </c>
      <c r="O217" s="136">
        <f>BICHOLIM!N27</f>
        <v>200</v>
      </c>
      <c r="P217" s="136">
        <f>BICHOLIM!O27</f>
        <v>1100</v>
      </c>
      <c r="Q217" s="136">
        <f>BICHOLIM!P27</f>
        <v>2509</v>
      </c>
      <c r="R217" s="136">
        <f>BICHOLIM!R27</f>
        <v>167693.08814580462</v>
      </c>
      <c r="T217" s="66">
        <v>44446.2140815203</v>
      </c>
      <c r="U217" s="66">
        <v>3396.726157705</v>
      </c>
      <c r="V217" s="66">
        <v>47842.9402392252</v>
      </c>
      <c r="W217" s="66">
        <v>2677.31968946649</v>
      </c>
      <c r="X217" s="66">
        <v>166161.546046787</v>
      </c>
      <c r="Y217" s="66">
        <v>216681.805975478</v>
      </c>
    </row>
    <row r="218" spans="1:25" ht="18.75">
      <c r="A218" s="138"/>
      <c r="B218" s="138">
        <v>24</v>
      </c>
      <c r="C218" s="138" t="s">
        <v>371</v>
      </c>
      <c r="D218" s="137" t="s">
        <v>507</v>
      </c>
      <c r="E218" s="136">
        <f>BICHOLIM!D28</f>
        <v>60001.87350795807</v>
      </c>
      <c r="F218" s="136">
        <f>BICHOLIM!E28</f>
        <v>34906.7690364327</v>
      </c>
      <c r="G218" s="136">
        <f>BICHOLIM!F28</f>
        <v>94908.64254439078</v>
      </c>
      <c r="H218" s="136">
        <f>BICHOLIM!G28</f>
        <v>4225.34751951083</v>
      </c>
      <c r="I218" s="136">
        <f>BICHOLIM!H28</f>
        <v>3957.6340789292735</v>
      </c>
      <c r="J218" s="136">
        <f>BICHOLIM!I28</f>
        <v>103091.62414283089</v>
      </c>
      <c r="K218" s="136">
        <f>BICHOLIM!J28</f>
        <v>109.38945892687936</v>
      </c>
      <c r="L218" s="136">
        <f>BICHOLIM!K28</f>
        <v>24949.72135091192</v>
      </c>
      <c r="M218" s="136">
        <f>BICHOLIM!L28</f>
        <v>38105.02897230184</v>
      </c>
      <c r="N218" s="136">
        <f>BICHOLIM!M28</f>
        <v>56250.280863874155</v>
      </c>
      <c r="O218" s="136">
        <f>BICHOLIM!N28</f>
        <v>165</v>
      </c>
      <c r="P218" s="136">
        <f>BICHOLIM!O28</f>
        <v>999</v>
      </c>
      <c r="Q218" s="136">
        <f>BICHOLIM!P28</f>
        <v>2009</v>
      </c>
      <c r="R218" s="136">
        <f>BICHOLIM!R28</f>
        <v>225679.0447888457</v>
      </c>
      <c r="T218" s="66">
        <v>66664.5756371126</v>
      </c>
      <c r="U218" s="66">
        <v>39216.5472020896</v>
      </c>
      <c r="V218" s="66">
        <v>105882.122839202</v>
      </c>
      <c r="W218" s="66">
        <v>25.3711092767398</v>
      </c>
      <c r="X218" s="66">
        <v>189513.280938193</v>
      </c>
      <c r="Y218" s="66">
        <v>295419.774886672</v>
      </c>
    </row>
    <row r="219" spans="1:25" ht="18.75">
      <c r="A219" s="138">
        <v>2</v>
      </c>
      <c r="B219" s="138"/>
      <c r="C219" s="138" t="s">
        <v>78</v>
      </c>
      <c r="D219" s="137"/>
      <c r="E219" s="136">
        <f>BICHOLIM!D29</f>
        <v>100005.96998258334</v>
      </c>
      <c r="F219" s="136">
        <f>BICHOLIM!E29</f>
        <v>37930.205415367665</v>
      </c>
      <c r="G219" s="136">
        <f>BICHOLIM!F29</f>
        <v>137936.175397951</v>
      </c>
      <c r="H219" s="136">
        <f>BICHOLIM!G29</f>
        <v>4591.324370327305</v>
      </c>
      <c r="I219" s="136">
        <f>BICHOLIM!H29</f>
        <v>4300.423033021782</v>
      </c>
      <c r="J219" s="136">
        <f>BICHOLIM!I29</f>
        <v>146827.92280130013</v>
      </c>
      <c r="K219" s="136">
        <f>BICHOLIM!J29</f>
        <v>11652.856045684415</v>
      </c>
      <c r="L219" s="136">
        <f>BICHOLIM!K29</f>
        <v>46825.15009437877</v>
      </c>
      <c r="M219" s="136">
        <f>BICHOLIM!L29</f>
        <v>73514.77468959667</v>
      </c>
      <c r="N219" s="136">
        <f>BICHOLIM!M29</f>
        <v>107569.42930369033</v>
      </c>
      <c r="O219" s="136">
        <f>BICHOLIM!N29</f>
        <v>365</v>
      </c>
      <c r="P219" s="136">
        <f>BICHOLIM!O29</f>
        <v>2099</v>
      </c>
      <c r="Q219" s="136">
        <f>BICHOLIM!P29</f>
        <v>4518</v>
      </c>
      <c r="R219" s="136">
        <f>BICHOLIM!R29</f>
        <v>393372.1329346503</v>
      </c>
      <c r="T219" s="66">
        <v>111110.789718633</v>
      </c>
      <c r="U219" s="66">
        <v>42614.2733597946</v>
      </c>
      <c r="V219" s="66">
        <v>153725.063078427</v>
      </c>
      <c r="W219" s="66">
        <v>2701.69079874323</v>
      </c>
      <c r="X219" s="66">
        <v>355674.82698498</v>
      </c>
      <c r="Y219" s="66">
        <v>512101.58086215</v>
      </c>
    </row>
    <row r="220" spans="1:25" ht="18.75">
      <c r="A220" s="138"/>
      <c r="B220" s="138"/>
      <c r="C220" s="138"/>
      <c r="D220" s="141"/>
      <c r="E220" s="138"/>
      <c r="F220" s="138"/>
      <c r="G220" s="138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T220" s="67"/>
      <c r="U220" s="67"/>
      <c r="V220" s="67"/>
      <c r="W220" s="67"/>
      <c r="X220" s="67"/>
      <c r="Y220" s="67"/>
    </row>
    <row r="221" spans="1:25" ht="18.75">
      <c r="A221" s="138"/>
      <c r="B221" s="138"/>
      <c r="C221" s="138" t="s">
        <v>45</v>
      </c>
      <c r="D221" s="141"/>
      <c r="E221" s="138"/>
      <c r="F221" s="138"/>
      <c r="G221" s="138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  <c r="T221" s="67"/>
      <c r="U221" s="67"/>
      <c r="V221" s="67"/>
      <c r="W221" s="67"/>
      <c r="X221" s="67"/>
      <c r="Y221" s="67"/>
    </row>
    <row r="222" spans="1:25" s="85" customFormat="1" ht="18.75">
      <c r="A222" s="138">
        <v>1</v>
      </c>
      <c r="B222" s="138">
        <v>25</v>
      </c>
      <c r="C222" s="138" t="s">
        <v>436</v>
      </c>
      <c r="D222" s="137" t="s">
        <v>508</v>
      </c>
      <c r="E222" s="136">
        <f>'TRAIL SATTARI'!D20</f>
        <v>104</v>
      </c>
      <c r="F222" s="136">
        <f>'TRAIL SATTARI'!E20</f>
        <v>0</v>
      </c>
      <c r="G222" s="136">
        <f>'TRAIL SATTARI'!F20</f>
        <v>104</v>
      </c>
      <c r="H222" s="136">
        <f>'TRAIL SATTARI'!G20</f>
        <v>0</v>
      </c>
      <c r="I222" s="136">
        <f>'TRAIL SATTARI'!H20</f>
        <v>0</v>
      </c>
      <c r="J222" s="136">
        <f>'TRAIL SATTARI'!I20</f>
        <v>104</v>
      </c>
      <c r="K222" s="136">
        <f>'TRAIL SATTARI'!J20</f>
        <v>75.86945436252584</v>
      </c>
      <c r="L222" s="136">
        <f>'TRAIL SATTARI'!K20</f>
        <v>0</v>
      </c>
      <c r="M222" s="136">
        <f>'TRAIL SATTARI'!L20</f>
        <v>0</v>
      </c>
      <c r="N222" s="136">
        <f>'TRAIL SATTARI'!M20</f>
        <v>0</v>
      </c>
      <c r="O222" s="136">
        <f>'TRAIL SATTARI'!N20</f>
        <v>418.53333333333336</v>
      </c>
      <c r="P222" s="136">
        <f>'TRAIL SATTARI'!O20</f>
        <v>2586.6666666666665</v>
      </c>
      <c r="Q222" s="136">
        <f>'TRAIL SATTARI'!P20</f>
        <v>5345</v>
      </c>
      <c r="R222" s="136">
        <v>8738</v>
      </c>
      <c r="T222" s="86">
        <v>4</v>
      </c>
      <c r="U222" s="86">
        <v>0</v>
      </c>
      <c r="V222" s="86">
        <v>4</v>
      </c>
      <c r="W222" s="86">
        <v>6</v>
      </c>
      <c r="X222" s="86">
        <v>0</v>
      </c>
      <c r="Y222" s="86">
        <v>10</v>
      </c>
    </row>
    <row r="223" spans="1:25" ht="18.75">
      <c r="A223" s="138"/>
      <c r="B223" s="138"/>
      <c r="C223" s="138"/>
      <c r="D223" s="141"/>
      <c r="E223" s="138"/>
      <c r="F223" s="138"/>
      <c r="G223" s="138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  <c r="T223" s="67"/>
      <c r="U223" s="67"/>
      <c r="V223" s="67"/>
      <c r="W223" s="67"/>
      <c r="X223" s="67"/>
      <c r="Y223" s="67"/>
    </row>
    <row r="224" spans="1:25" ht="18.75">
      <c r="A224" s="138"/>
      <c r="B224" s="138"/>
      <c r="C224" s="138" t="s">
        <v>44</v>
      </c>
      <c r="D224" s="141"/>
      <c r="E224" s="138"/>
      <c r="F224" s="138"/>
      <c r="G224" s="138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  <c r="R224" s="138"/>
      <c r="T224" s="67"/>
      <c r="U224" s="67"/>
      <c r="V224" s="67"/>
      <c r="W224" s="67"/>
      <c r="X224" s="67"/>
      <c r="Y224" s="67"/>
    </row>
    <row r="225" spans="1:25" ht="18.75">
      <c r="A225" s="138"/>
      <c r="B225" s="138">
        <v>26</v>
      </c>
      <c r="C225" s="138" t="s">
        <v>407</v>
      </c>
      <c r="D225" s="137" t="s">
        <v>508</v>
      </c>
      <c r="E225" s="136">
        <f>PERNEM!D26</f>
        <v>47820.52523828281</v>
      </c>
      <c r="F225" s="136">
        <f>PERNEM!E26</f>
        <v>20000.26985664571</v>
      </c>
      <c r="G225" s="136">
        <f>PERNEM!F26</f>
        <v>67820.79509492853</v>
      </c>
      <c r="H225" s="136">
        <f>PERNEM!G26</f>
        <v>2420.9657026728223</v>
      </c>
      <c r="I225" s="136">
        <f>PERNEM!H26</f>
        <v>2267.575938919728</v>
      </c>
      <c r="J225" s="136">
        <f>PERNEM!I26</f>
        <v>72509.33673652109</v>
      </c>
      <c r="K225" s="136">
        <f>PERNEM!J26</f>
        <v>17266.2624906164</v>
      </c>
      <c r="L225" s="136">
        <f>PERNEM!K26</f>
        <v>1688.625383607538</v>
      </c>
      <c r="M225" s="136">
        <f>PERNEM!L26</f>
        <v>2578.9914949642393</v>
      </c>
      <c r="N225" s="136">
        <f>PERNEM!M26</f>
        <v>3807.082683042449</v>
      </c>
      <c r="O225" s="136">
        <f>PERNEM!N26</f>
        <v>232</v>
      </c>
      <c r="P225" s="136">
        <f>PERNEM!O26</f>
        <v>1437</v>
      </c>
      <c r="Q225" s="136">
        <f>PERNEM!P26</f>
        <v>2969</v>
      </c>
      <c r="R225" s="136">
        <f>PERNEM!R26</f>
        <v>102488.29878875171</v>
      </c>
      <c r="T225" s="66">
        <v>53130.591352804</v>
      </c>
      <c r="U225" s="66">
        <v>22362.8819409994</v>
      </c>
      <c r="V225" s="66">
        <v>75494.4732938034</v>
      </c>
      <c r="W225" s="66">
        <v>4004.62930110225</v>
      </c>
      <c r="X225" s="66">
        <v>12826.6441763911</v>
      </c>
      <c r="Y225" s="66">
        <v>92325.7467712968</v>
      </c>
    </row>
    <row r="226" spans="1:25" ht="18.75">
      <c r="A226" s="138"/>
      <c r="B226" s="138">
        <v>27</v>
      </c>
      <c r="C226" s="138" t="s">
        <v>408</v>
      </c>
      <c r="D226" s="137" t="s">
        <v>508</v>
      </c>
      <c r="E226" s="136">
        <f>PERNEM!D27</f>
        <v>900.0563332852694</v>
      </c>
      <c r="F226" s="136">
        <f>PERNEM!E27</f>
        <v>0</v>
      </c>
      <c r="G226" s="136">
        <f>PERNEM!F27</f>
        <v>900.0563332852694</v>
      </c>
      <c r="H226" s="136">
        <f>PERNEM!G27</f>
        <v>0</v>
      </c>
      <c r="I226" s="136">
        <f>PERNEM!H27</f>
        <v>0</v>
      </c>
      <c r="J226" s="136">
        <f>PERNEM!I27</f>
        <v>900.0563332852694</v>
      </c>
      <c r="K226" s="136">
        <f>PERNEM!J27</f>
        <v>0</v>
      </c>
      <c r="L226" s="136">
        <f>PERNEM!K27</f>
        <v>65.8249094769326</v>
      </c>
      <c r="M226" s="136">
        <f>PERNEM!L27</f>
        <v>100.53258901931524</v>
      </c>
      <c r="N226" s="136">
        <f>PERNEM!M27</f>
        <v>148.4052504570844</v>
      </c>
      <c r="O226" s="136">
        <f>PERNEM!N27</f>
        <v>232</v>
      </c>
      <c r="P226" s="136">
        <f>PERNEM!O27</f>
        <v>1437</v>
      </c>
      <c r="Q226" s="136">
        <f>PERNEM!P27</f>
        <v>2969</v>
      </c>
      <c r="R226" s="136">
        <f>PERNEM!R27</f>
        <v>5852.819082238602</v>
      </c>
      <c r="T226" s="66">
        <v>1000</v>
      </c>
      <c r="U226" s="66">
        <v>0</v>
      </c>
      <c r="V226" s="66">
        <v>1000</v>
      </c>
      <c r="W226" s="66">
        <v>0</v>
      </c>
      <c r="X226" s="66">
        <v>500</v>
      </c>
      <c r="Y226" s="66">
        <v>1500</v>
      </c>
    </row>
    <row r="227" spans="1:25" s="80" customFormat="1" ht="18.75">
      <c r="A227" s="138">
        <v>2</v>
      </c>
      <c r="B227" s="138"/>
      <c r="C227" s="138" t="s">
        <v>78</v>
      </c>
      <c r="D227" s="137"/>
      <c r="E227" s="136">
        <f>PERNEM!D28</f>
        <v>48720.58157156808</v>
      </c>
      <c r="F227" s="136">
        <f>PERNEM!E28</f>
        <v>20000.26985664571</v>
      </c>
      <c r="G227" s="136">
        <f>PERNEM!F28</f>
        <v>68720.8514282138</v>
      </c>
      <c r="H227" s="136">
        <f>PERNEM!G28</f>
        <v>2420.9657026728223</v>
      </c>
      <c r="I227" s="136">
        <f>PERNEM!H28</f>
        <v>2267.575938919728</v>
      </c>
      <c r="J227" s="136">
        <f>PERNEM!I28</f>
        <v>73409.39306980636</v>
      </c>
      <c r="K227" s="136">
        <f>PERNEM!J28</f>
        <v>17266.2624906164</v>
      </c>
      <c r="L227" s="136">
        <f>PERNEM!K28</f>
        <v>1754.4502930844706</v>
      </c>
      <c r="M227" s="136">
        <f>PERNEM!L28</f>
        <v>2679.5240839835546</v>
      </c>
      <c r="N227" s="136">
        <f>PERNEM!M28</f>
        <v>3955.4879334995335</v>
      </c>
      <c r="O227" s="136">
        <f>PERNEM!N28</f>
        <v>464</v>
      </c>
      <c r="P227" s="136">
        <f>PERNEM!O28</f>
        <v>2874</v>
      </c>
      <c r="Q227" s="136">
        <f>PERNEM!P28</f>
        <v>5938</v>
      </c>
      <c r="R227" s="136">
        <f>PERNEM!R28</f>
        <v>108341.1178709903</v>
      </c>
      <c r="T227" s="81">
        <v>54130.591352804</v>
      </c>
      <c r="U227" s="81">
        <v>22362.8819409994</v>
      </c>
      <c r="V227" s="81">
        <v>76494.4732938034</v>
      </c>
      <c r="W227" s="81">
        <v>4004.62930110225</v>
      </c>
      <c r="X227" s="81">
        <v>13326.6441763911</v>
      </c>
      <c r="Y227" s="81">
        <v>93825.7467712968</v>
      </c>
    </row>
    <row r="228" spans="1:25" ht="18.75">
      <c r="A228" s="138"/>
      <c r="B228" s="138"/>
      <c r="C228" s="138"/>
      <c r="D228" s="141"/>
      <c r="E228" s="138"/>
      <c r="F228" s="138"/>
      <c r="G228" s="138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  <c r="T228" s="67"/>
      <c r="U228" s="67"/>
      <c r="V228" s="67"/>
      <c r="W228" s="67"/>
      <c r="X228" s="67"/>
      <c r="Y228" s="67"/>
    </row>
    <row r="229" spans="1:25" ht="18.75">
      <c r="A229" s="136">
        <v>27</v>
      </c>
      <c r="B229" s="138"/>
      <c r="C229" s="143" t="s">
        <v>17</v>
      </c>
      <c r="D229" s="144"/>
      <c r="E229" s="145">
        <f aca="true" t="shared" si="11" ref="E229:R229">E201+E214+E219+E222+E227</f>
        <v>363771.4088607134</v>
      </c>
      <c r="F229" s="145">
        <f t="shared" si="11"/>
        <v>157090.01514365285</v>
      </c>
      <c r="G229" s="145">
        <f t="shared" si="11"/>
        <v>520861.42400436633</v>
      </c>
      <c r="H229" s="145">
        <f t="shared" si="11"/>
        <v>19015.220375577494</v>
      </c>
      <c r="I229" s="145">
        <f t="shared" si="11"/>
        <v>17810.436615979954</v>
      </c>
      <c r="J229" s="145">
        <f t="shared" si="11"/>
        <v>557687.0809959237</v>
      </c>
      <c r="K229" s="145">
        <f t="shared" si="11"/>
        <v>946920.1699089108</v>
      </c>
      <c r="L229" s="145">
        <f t="shared" si="11"/>
        <v>118827.32325762244</v>
      </c>
      <c r="M229" s="145">
        <f t="shared" si="11"/>
        <v>183168.73006618698</v>
      </c>
      <c r="N229" s="145">
        <f t="shared" si="11"/>
        <v>265901.60152627603</v>
      </c>
      <c r="O229" s="145">
        <f t="shared" si="11"/>
        <v>1953.7883333333334</v>
      </c>
      <c r="P229" s="145">
        <f t="shared" si="11"/>
        <v>11902.666666666666</v>
      </c>
      <c r="Q229" s="145">
        <f t="shared" si="11"/>
        <v>24755</v>
      </c>
      <c r="R229" s="145">
        <f t="shared" si="11"/>
        <v>2111324.2913005576</v>
      </c>
      <c r="T229" s="71">
        <v>486153.207795692</v>
      </c>
      <c r="U229" s="71">
        <v>336415.801923631</v>
      </c>
      <c r="V229" s="71">
        <v>822569.009719323</v>
      </c>
      <c r="W229" s="71">
        <v>225277.439635314</v>
      </c>
      <c r="X229" s="71">
        <v>1045687.85250719</v>
      </c>
      <c r="Y229" s="71">
        <v>2093534.30186183</v>
      </c>
    </row>
    <row r="230" spans="1:25" ht="18.75">
      <c r="A230" s="138"/>
      <c r="B230" s="138"/>
      <c r="C230" s="138"/>
      <c r="D230" s="141"/>
      <c r="E230" s="138"/>
      <c r="F230" s="138"/>
      <c r="G230" s="138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T230" s="67"/>
      <c r="U230" s="67"/>
      <c r="V230" s="67"/>
      <c r="W230" s="67"/>
      <c r="X230" s="67"/>
      <c r="Y230" s="67"/>
    </row>
    <row r="231" spans="1:25" ht="18.75">
      <c r="A231" s="138"/>
      <c r="B231" s="138"/>
      <c r="C231" s="143" t="s">
        <v>460</v>
      </c>
      <c r="D231" s="141"/>
      <c r="E231" s="138"/>
      <c r="F231" s="138"/>
      <c r="G231" s="138"/>
      <c r="H231" s="138"/>
      <c r="I231" s="138"/>
      <c r="J231" s="138"/>
      <c r="K231" s="138"/>
      <c r="L231" s="138"/>
      <c r="M231" s="138"/>
      <c r="N231" s="138"/>
      <c r="O231" s="138"/>
      <c r="P231" s="138"/>
      <c r="Q231" s="138"/>
      <c r="R231" s="138"/>
      <c r="T231" s="67"/>
      <c r="U231" s="67"/>
      <c r="V231" s="67"/>
      <c r="W231" s="67"/>
      <c r="X231" s="67"/>
      <c r="Y231" s="67"/>
    </row>
    <row r="232" spans="1:25" ht="18.75">
      <c r="A232" s="138"/>
      <c r="B232" s="138"/>
      <c r="C232" s="138" t="s">
        <v>41</v>
      </c>
      <c r="D232" s="141"/>
      <c r="E232" s="138"/>
      <c r="F232" s="138"/>
      <c r="G232" s="138"/>
      <c r="H232" s="138"/>
      <c r="I232" s="138"/>
      <c r="J232" s="138"/>
      <c r="K232" s="138"/>
      <c r="L232" s="138"/>
      <c r="M232" s="138"/>
      <c r="N232" s="138"/>
      <c r="O232" s="138"/>
      <c r="P232" s="138"/>
      <c r="Q232" s="138"/>
      <c r="R232" s="138"/>
      <c r="T232" s="67"/>
      <c r="U232" s="67"/>
      <c r="V232" s="67"/>
      <c r="W232" s="67"/>
      <c r="X232" s="67"/>
      <c r="Y232" s="67"/>
    </row>
    <row r="233" spans="1:25" ht="18.75">
      <c r="A233" s="138"/>
      <c r="B233" s="138">
        <v>1</v>
      </c>
      <c r="C233" s="138" t="s">
        <v>105</v>
      </c>
      <c r="D233" s="137" t="s">
        <v>508</v>
      </c>
      <c r="E233" s="136">
        <f>'TISWADI '!D77</f>
        <v>73963.20406616114</v>
      </c>
      <c r="F233" s="136">
        <f>'TISWADI '!E77</f>
        <v>35589.10098187322</v>
      </c>
      <c r="G233" s="136">
        <f>'TISWADI '!F77</f>
        <v>109552.30504803435</v>
      </c>
      <c r="H233" s="136">
        <f>'TISWADI '!G77</f>
        <v>4307.941516971352</v>
      </c>
      <c r="I233" s="136">
        <f>'TISWADI '!H77</f>
        <v>4034.995010203063</v>
      </c>
      <c r="J233" s="136">
        <f>'TISWADI '!I77</f>
        <v>117895.24157520875</v>
      </c>
      <c r="K233" s="136">
        <f>'TISWADI '!J77</f>
        <v>0</v>
      </c>
      <c r="L233" s="136">
        <f>'TISWADI '!K77</f>
        <v>635.353805538651</v>
      </c>
      <c r="M233" s="136">
        <f>'TISWADI '!L77</f>
        <v>970.3585393681216</v>
      </c>
      <c r="N233" s="136">
        <f>'TISWADI '!M77</f>
        <v>1432.4340343053223</v>
      </c>
      <c r="O233" s="136">
        <f>'TISWADI '!N77</f>
        <v>44.84</v>
      </c>
      <c r="P233" s="136">
        <f>'TISWADI '!O77</f>
        <v>277</v>
      </c>
      <c r="Q233" s="136">
        <f>'TISWADI '!P77</f>
        <v>572.6785714285714</v>
      </c>
      <c r="R233" s="136">
        <f>'TISWADI '!S77</f>
        <v>121827.90652584941</v>
      </c>
      <c r="T233" s="66">
        <v>82870.4074851151</v>
      </c>
      <c r="U233" s="66">
        <v>39983.1235334004</v>
      </c>
      <c r="V233" s="66">
        <v>122852.531018515</v>
      </c>
      <c r="W233" s="66">
        <v>0</v>
      </c>
      <c r="X233" s="66">
        <v>4826.0252108906</v>
      </c>
      <c r="Y233" s="66">
        <v>127678.556229406</v>
      </c>
    </row>
    <row r="234" spans="1:25" ht="18.75">
      <c r="A234" s="138"/>
      <c r="B234" s="138">
        <v>2</v>
      </c>
      <c r="C234" s="138" t="s">
        <v>106</v>
      </c>
      <c r="D234" s="137" t="s">
        <v>508</v>
      </c>
      <c r="E234" s="136">
        <f>'TISWADI '!D78</f>
        <v>22074.197226636075</v>
      </c>
      <c r="F234" s="136">
        <f>'TISWADI '!E78</f>
        <v>3690.0825325263363</v>
      </c>
      <c r="G234" s="136">
        <f>'TISWADI '!F78</f>
        <v>25764.27975916241</v>
      </c>
      <c r="H234" s="136">
        <f>'TISWADI '!G78</f>
        <v>446.6721356917029</v>
      </c>
      <c r="I234" s="136">
        <f>'TISWADI '!H78</f>
        <v>418.37147315311444</v>
      </c>
      <c r="J234" s="136">
        <f>'TISWADI '!I78</f>
        <v>26629.32336800723</v>
      </c>
      <c r="K234" s="136">
        <f>'TISWADI '!J78</f>
        <v>0</v>
      </c>
      <c r="L234" s="136">
        <f>'TISWADI '!K78</f>
        <v>1076.5824678147326</v>
      </c>
      <c r="M234" s="136">
        <f>'TISWADI '!L78</f>
        <v>1644.2350417534096</v>
      </c>
      <c r="N234" s="136">
        <f>'TISWADI '!M78</f>
        <v>2427.2041092550335</v>
      </c>
      <c r="O234" s="136">
        <f>'TISWADI '!N78</f>
        <v>44.84</v>
      </c>
      <c r="P234" s="136">
        <f>'TISWADI '!O78</f>
        <v>277</v>
      </c>
      <c r="Q234" s="136">
        <f>'TISWADI '!P78</f>
        <v>572.6785714285714</v>
      </c>
      <c r="R234" s="136">
        <f>'TISWADI '!S78</f>
        <v>32671.86355825898</v>
      </c>
      <c r="T234" s="66">
        <v>24799.5967940514</v>
      </c>
      <c r="U234" s="66">
        <v>4145.68004461791</v>
      </c>
      <c r="V234" s="66">
        <v>28946.2768386693</v>
      </c>
      <c r="W234" s="66">
        <v>0</v>
      </c>
      <c r="X234" s="66">
        <v>8177.51319970751</v>
      </c>
      <c r="Y234" s="66">
        <v>37123.7900383768</v>
      </c>
    </row>
    <row r="235" spans="1:25" ht="18.75">
      <c r="A235" s="138"/>
      <c r="B235" s="138">
        <v>3</v>
      </c>
      <c r="C235" s="138" t="s">
        <v>75</v>
      </c>
      <c r="D235" s="137" t="s">
        <v>507</v>
      </c>
      <c r="E235" s="136">
        <f>'TISWADI '!D79</f>
        <v>255.18639030372134</v>
      </c>
      <c r="F235" s="136">
        <f>'TISWADI '!E79</f>
        <v>0</v>
      </c>
      <c r="G235" s="136">
        <f>'TISWADI '!F79</f>
        <v>255.18639030372134</v>
      </c>
      <c r="H235" s="136">
        <f>'TISWADI '!G79</f>
        <v>0</v>
      </c>
      <c r="I235" s="136">
        <f>'TISWADI '!H79</f>
        <v>0</v>
      </c>
      <c r="J235" s="136">
        <f>'TISWADI '!I79</f>
        <v>255.18639030372134</v>
      </c>
      <c r="K235" s="136">
        <f>'TISWADI '!J79</f>
        <v>237.13666498982016</v>
      </c>
      <c r="L235" s="136">
        <f>'TISWADI '!K79</f>
        <v>116.37998965043107</v>
      </c>
      <c r="M235" s="136">
        <f>'TISWADI '!L79</f>
        <v>177.74398419338561</v>
      </c>
      <c r="N235" s="136">
        <f>'TISWADI '!M79</f>
        <v>262.3839766664264</v>
      </c>
      <c r="O235" s="136">
        <f>'TISWADI '!N79</f>
        <v>44.84</v>
      </c>
      <c r="P235" s="136">
        <f>'TISWADI '!O79</f>
        <v>277</v>
      </c>
      <c r="Q235" s="136">
        <f>'TISWADI '!P79</f>
        <v>572.6785714285714</v>
      </c>
      <c r="R235" s="136">
        <f>'TISWADI '!S79</f>
        <v>1943.3495772323558</v>
      </c>
      <c r="T235" s="66">
        <v>62</v>
      </c>
      <c r="U235" s="66">
        <v>0</v>
      </c>
      <c r="V235" s="66">
        <v>62</v>
      </c>
      <c r="W235" s="66">
        <v>55</v>
      </c>
      <c r="X235" s="66">
        <v>884</v>
      </c>
      <c r="Y235" s="66">
        <v>1001</v>
      </c>
    </row>
    <row r="236" spans="1:25" ht="18.75">
      <c r="A236" s="138"/>
      <c r="B236" s="138">
        <v>4</v>
      </c>
      <c r="C236" s="138" t="s">
        <v>107</v>
      </c>
      <c r="D236" s="137" t="s">
        <v>507</v>
      </c>
      <c r="E236" s="136">
        <f>'TISWADI '!D80</f>
        <v>0</v>
      </c>
      <c r="F236" s="136">
        <f>'TISWADI '!E80</f>
        <v>23995.340081326907</v>
      </c>
      <c r="G236" s="136">
        <f>'TISWADI '!F80</f>
        <v>23995.340081326907</v>
      </c>
      <c r="H236" s="136">
        <f>'TISWADI '!G80</f>
        <v>2904.555577361877</v>
      </c>
      <c r="I236" s="136">
        <f>'TISWADI '!H80</f>
        <v>2720.5260831284845</v>
      </c>
      <c r="J236" s="136">
        <f>'TISWADI '!I80</f>
        <v>29620.421741817267</v>
      </c>
      <c r="K236" s="136">
        <f>'TISWADI '!J80</f>
        <v>78471.45770287151</v>
      </c>
      <c r="L236" s="136">
        <f>'TISWADI '!K80</f>
        <v>10005.583406560285</v>
      </c>
      <c r="M236" s="136">
        <f>'TISWADI '!L80</f>
        <v>15281.254657292071</v>
      </c>
      <c r="N236" s="136">
        <f>'TISWADI '!M80</f>
        <v>22558.042589335913</v>
      </c>
      <c r="O236" s="136">
        <f>'TISWADI '!N80</f>
        <v>44.84</v>
      </c>
      <c r="P236" s="136">
        <f>'TISWADI '!O80</f>
        <v>277</v>
      </c>
      <c r="Q236" s="136">
        <f>'TISWADI '!P80</f>
        <v>572.6785714285714</v>
      </c>
      <c r="R236" s="136">
        <f>'TISWADI '!S80</f>
        <v>156831.2786693056</v>
      </c>
      <c r="T236" s="66">
        <v>0</v>
      </c>
      <c r="U236" s="66">
        <v>26957.9343177651</v>
      </c>
      <c r="V236" s="66">
        <v>26957.9343177651</v>
      </c>
      <c r="W236" s="66">
        <v>18200.1807853847</v>
      </c>
      <c r="X236" s="66">
        <v>76000.4856330259</v>
      </c>
      <c r="Y236" s="66">
        <v>121157.600736176</v>
      </c>
    </row>
    <row r="237" spans="1:25" ht="18.75">
      <c r="A237" s="138">
        <v>4</v>
      </c>
      <c r="B237" s="138"/>
      <c r="C237" s="138" t="s">
        <v>78</v>
      </c>
      <c r="D237" s="137"/>
      <c r="E237" s="136">
        <f>'TISWADI '!D81</f>
        <v>96292.58768310094</v>
      </c>
      <c r="F237" s="136">
        <f>'TISWADI '!E81</f>
        <v>63274.52359572647</v>
      </c>
      <c r="G237" s="136">
        <f>'TISWADI '!F81</f>
        <v>159567.11127882742</v>
      </c>
      <c r="H237" s="136">
        <f>'TISWADI '!G81</f>
        <v>7659.169230024932</v>
      </c>
      <c r="I237" s="136">
        <f>'TISWADI '!H81</f>
        <v>7173.892566484662</v>
      </c>
      <c r="J237" s="136">
        <f>'TISWADI '!I81</f>
        <v>174400.17307533696</v>
      </c>
      <c r="K237" s="136">
        <f>'TISWADI '!J81</f>
        <v>78708.59436786134</v>
      </c>
      <c r="L237" s="136">
        <f>'TISWADI '!K81</f>
        <v>11833.8996695641</v>
      </c>
      <c r="M237" s="136">
        <f>'TISWADI '!L81</f>
        <v>18073.592222606985</v>
      </c>
      <c r="N237" s="136">
        <f>'TISWADI '!M81</f>
        <v>26680.064709562695</v>
      </c>
      <c r="O237" s="136">
        <f>'TISWADI '!N81</f>
        <v>179.36</v>
      </c>
      <c r="P237" s="136">
        <f>'TISWADI '!O81</f>
        <v>1108</v>
      </c>
      <c r="Q237" s="136">
        <f>'TISWADI '!P81</f>
        <v>2290.714285714286</v>
      </c>
      <c r="R237" s="136">
        <f>'TISWADI '!S81</f>
        <v>313274.39833064633</v>
      </c>
      <c r="T237" s="66">
        <v>107732.004279166</v>
      </c>
      <c r="U237" s="66">
        <v>71086.7378957833</v>
      </c>
      <c r="V237" s="66">
        <v>178818.74217495</v>
      </c>
      <c r="W237" s="66">
        <v>18255.1807853847</v>
      </c>
      <c r="X237" s="66">
        <v>89888.024043624</v>
      </c>
      <c r="Y237" s="66">
        <v>286961.947003958</v>
      </c>
    </row>
    <row r="238" spans="1:25" ht="18.75">
      <c r="A238" s="138"/>
      <c r="B238" s="138"/>
      <c r="C238" s="138"/>
      <c r="D238" s="141"/>
      <c r="E238" s="138"/>
      <c r="F238" s="138"/>
      <c r="G238" s="138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T238" s="67"/>
      <c r="U238" s="67"/>
      <c r="V238" s="67"/>
      <c r="W238" s="67"/>
      <c r="X238" s="67"/>
      <c r="Y238" s="67"/>
    </row>
    <row r="239" spans="1:25" ht="18.75">
      <c r="A239" s="138"/>
      <c r="B239" s="138"/>
      <c r="C239" s="138" t="s">
        <v>42</v>
      </c>
      <c r="D239" s="141"/>
      <c r="E239" s="138"/>
      <c r="F239" s="138"/>
      <c r="G239" s="138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T239" s="67"/>
      <c r="U239" s="67"/>
      <c r="V239" s="67"/>
      <c r="W239" s="67"/>
      <c r="X239" s="67"/>
      <c r="Y239" s="67"/>
    </row>
    <row r="240" spans="1:25" ht="18.75">
      <c r="A240" s="138"/>
      <c r="B240" s="138">
        <v>5</v>
      </c>
      <c r="C240" s="138" t="s">
        <v>247</v>
      </c>
      <c r="D240" s="137" t="s">
        <v>507</v>
      </c>
      <c r="E240" s="136">
        <f>BARDEZ!D68</f>
        <v>9324.038287861113</v>
      </c>
      <c r="F240" s="136">
        <f>BARDEZ!E68</f>
        <v>594.099366288776</v>
      </c>
      <c r="G240" s="136">
        <f>BARDEZ!F68</f>
        <v>9918.137654149888</v>
      </c>
      <c r="H240" s="136">
        <f>BARDEZ!G68</f>
        <v>71.91373916821762</v>
      </c>
      <c r="I240" s="136">
        <f>BARDEZ!H68</f>
        <v>67.35736257459791</v>
      </c>
      <c r="J240" s="136">
        <f>BARDEZ!I68</f>
        <v>10057.408755892704</v>
      </c>
      <c r="K240" s="136">
        <f>BARDEZ!J68</f>
        <v>321242.2968285836</v>
      </c>
      <c r="L240" s="136">
        <f>BARDEZ!K68</f>
        <v>3626.24657940682</v>
      </c>
      <c r="M240" s="136">
        <f>BARDEZ!L68</f>
        <v>5538.267503094052</v>
      </c>
      <c r="N240" s="136">
        <f>BARDEZ!M68</f>
        <v>8175.537742662648</v>
      </c>
      <c r="O240" s="136">
        <f>BARDEZ!N68</f>
        <v>39.2375</v>
      </c>
      <c r="P240" s="136">
        <f>BARDEZ!O68</f>
        <v>242.5</v>
      </c>
      <c r="Q240" s="136">
        <f>BARDEZ!P68</f>
        <v>495</v>
      </c>
      <c r="R240" s="136">
        <f>BARDEZ!R68</f>
        <v>349416.4949096398</v>
      </c>
      <c r="T240" s="66">
        <v>10359.3941212854</v>
      </c>
      <c r="U240" s="66">
        <v>667.450081572382</v>
      </c>
      <c r="V240" s="66">
        <v>11025.8442028577</v>
      </c>
      <c r="W240" s="66">
        <v>74506.9360165395</v>
      </c>
      <c r="X240" s="66">
        <v>27544.2710196508</v>
      </c>
      <c r="Y240" s="66">
        <v>113077.051239048</v>
      </c>
    </row>
    <row r="241" spans="1:25" ht="18.75">
      <c r="A241" s="138"/>
      <c r="B241" s="138">
        <v>6</v>
      </c>
      <c r="C241" s="138" t="s">
        <v>248</v>
      </c>
      <c r="D241" s="137" t="s">
        <v>507</v>
      </c>
      <c r="E241" s="136">
        <f>BARDEZ!D69</f>
        <v>0</v>
      </c>
      <c r="F241" s="136">
        <f>BARDEZ!E69</f>
        <v>0</v>
      </c>
      <c r="G241" s="136">
        <f>BARDEZ!F69</f>
        <v>0</v>
      </c>
      <c r="H241" s="136">
        <f>BARDEZ!G69</f>
        <v>0</v>
      </c>
      <c r="I241" s="136">
        <f>BARDEZ!H69</f>
        <v>0</v>
      </c>
      <c r="J241" s="136">
        <f>BARDEZ!I69</f>
        <v>0</v>
      </c>
      <c r="K241" s="136">
        <f>BARDEZ!J69</f>
        <v>1416.30562610591</v>
      </c>
      <c r="L241" s="136">
        <f>BARDEZ!K69</f>
        <v>1911.4752652328475</v>
      </c>
      <c r="M241" s="136">
        <f>BARDEZ!L69</f>
        <v>2919.344041446531</v>
      </c>
      <c r="N241" s="136">
        <f>BARDEZ!M69</f>
        <v>4309.507870706783</v>
      </c>
      <c r="O241" s="136">
        <f>BARDEZ!N69</f>
        <v>39.2375</v>
      </c>
      <c r="P241" s="136">
        <f>BARDEZ!O69</f>
        <v>242.5</v>
      </c>
      <c r="Q241" s="136">
        <f>BARDEZ!P69</f>
        <v>495</v>
      </c>
      <c r="R241" s="136">
        <f>BARDEZ!R69</f>
        <v>11333.37030349207</v>
      </c>
      <c r="T241" s="66">
        <v>0</v>
      </c>
      <c r="U241" s="66">
        <v>0</v>
      </c>
      <c r="V241" s="66">
        <v>0</v>
      </c>
      <c r="W241" s="66">
        <v>328.489099056736</v>
      </c>
      <c r="X241" s="66">
        <v>14519.1981846819</v>
      </c>
      <c r="Y241" s="66">
        <v>14846.6872837386</v>
      </c>
    </row>
    <row r="242" spans="1:25" ht="18.75">
      <c r="A242" s="138"/>
      <c r="B242" s="138">
        <v>7</v>
      </c>
      <c r="C242" s="138" t="s">
        <v>249</v>
      </c>
      <c r="D242" s="137" t="s">
        <v>507</v>
      </c>
      <c r="E242" s="136">
        <f>BARDEZ!D70</f>
        <v>0</v>
      </c>
      <c r="F242" s="136">
        <f>BARDEZ!E70</f>
        <v>0</v>
      </c>
      <c r="G242" s="136">
        <f>BARDEZ!F70</f>
        <v>0</v>
      </c>
      <c r="H242" s="136">
        <f>BARDEZ!G70</f>
        <v>0</v>
      </c>
      <c r="I242" s="136">
        <f>BARDEZ!H70</f>
        <v>0</v>
      </c>
      <c r="J242" s="136">
        <f>BARDEZ!I70</f>
        <v>0</v>
      </c>
      <c r="K242" s="136">
        <f>BARDEZ!J70</f>
        <v>522.8832764606358</v>
      </c>
      <c r="L242" s="136">
        <f>BARDEZ!K70</f>
        <v>399.62975811919983</v>
      </c>
      <c r="M242" s="136">
        <f>BARDEZ!L70</f>
        <v>610.3436305820507</v>
      </c>
      <c r="N242" s="136">
        <f>BARDEZ!M70</f>
        <v>900.9834546687415</v>
      </c>
      <c r="O242" s="136">
        <f>BARDEZ!N70</f>
        <v>39.2375</v>
      </c>
      <c r="P242" s="136">
        <f>BARDEZ!O70</f>
        <v>242.5</v>
      </c>
      <c r="Q242" s="136">
        <f>BARDEZ!P70</f>
        <v>495</v>
      </c>
      <c r="R242" s="136">
        <f>BARDEZ!R70</f>
        <v>3210.577619830628</v>
      </c>
      <c r="T242" s="66">
        <v>0</v>
      </c>
      <c r="U242" s="66">
        <v>0</v>
      </c>
      <c r="V242" s="66">
        <v>0</v>
      </c>
      <c r="W242" s="66">
        <v>121.274288</v>
      </c>
      <c r="X242" s="66">
        <v>3035.51072</v>
      </c>
      <c r="Y242" s="66">
        <v>3156.785008</v>
      </c>
    </row>
    <row r="243" spans="1:25" ht="18.75">
      <c r="A243" s="138"/>
      <c r="B243" s="138">
        <v>8</v>
      </c>
      <c r="C243" s="138" t="s">
        <v>250</v>
      </c>
      <c r="D243" s="137" t="s">
        <v>507</v>
      </c>
      <c r="E243" s="136">
        <f>BARDEZ!D71</f>
        <v>0</v>
      </c>
      <c r="F243" s="136">
        <f>BARDEZ!E71</f>
        <v>0</v>
      </c>
      <c r="G243" s="136">
        <f>BARDEZ!F71</f>
        <v>0</v>
      </c>
      <c r="H243" s="136">
        <f>BARDEZ!G71</f>
        <v>0</v>
      </c>
      <c r="I243" s="136">
        <f>BARDEZ!H71</f>
        <v>0</v>
      </c>
      <c r="J243" s="136">
        <f>BARDEZ!I71</f>
        <v>0</v>
      </c>
      <c r="K243" s="136">
        <f>BARDEZ!J71</f>
        <v>0</v>
      </c>
      <c r="L243" s="136">
        <f>BARDEZ!K71</f>
        <v>499.5371976489997</v>
      </c>
      <c r="M243" s="136">
        <f>BARDEZ!L71</f>
        <v>762.9295382275632</v>
      </c>
      <c r="N243" s="136">
        <f>BARDEZ!M71</f>
        <v>1126.2293183359266</v>
      </c>
      <c r="O243" s="136">
        <f>BARDEZ!N71</f>
        <v>39.2375</v>
      </c>
      <c r="P243" s="136">
        <f>BARDEZ!O71</f>
        <v>242.5</v>
      </c>
      <c r="Q243" s="136">
        <f>BARDEZ!P71</f>
        <v>495</v>
      </c>
      <c r="R243" s="136">
        <f>BARDEZ!R71</f>
        <v>3165.4335542124895</v>
      </c>
      <c r="T243" s="66">
        <v>0</v>
      </c>
      <c r="U243" s="66">
        <v>0</v>
      </c>
      <c r="V243" s="66">
        <v>0</v>
      </c>
      <c r="W243" s="66">
        <v>0</v>
      </c>
      <c r="X243" s="66">
        <v>3794.3884</v>
      </c>
      <c r="Y243" s="66">
        <v>3794.3884</v>
      </c>
    </row>
    <row r="244" spans="1:25" ht="18.75">
      <c r="A244" s="138"/>
      <c r="B244" s="138">
        <v>9</v>
      </c>
      <c r="C244" s="138" t="s">
        <v>251</v>
      </c>
      <c r="D244" s="137" t="s">
        <v>508</v>
      </c>
      <c r="E244" s="136">
        <f>BARDEZ!D72</f>
        <v>9324.038287861113</v>
      </c>
      <c r="F244" s="136">
        <f>BARDEZ!E72</f>
        <v>327.4409048522301</v>
      </c>
      <c r="G244" s="136">
        <f>BARDEZ!F72</f>
        <v>9651.479192713343</v>
      </c>
      <c r="H244" s="136">
        <f>BARDEZ!G72</f>
        <v>39.6356252181266</v>
      </c>
      <c r="I244" s="136">
        <f>BARDEZ!H72</f>
        <v>37.12435495035599</v>
      </c>
      <c r="J244" s="136">
        <f>BARDEZ!I72</f>
        <v>9728.239172881826</v>
      </c>
      <c r="K244" s="136">
        <f>BARDEZ!J72</f>
        <v>17018.696873045017</v>
      </c>
      <c r="L244" s="136">
        <f>BARDEZ!K72</f>
        <v>197.47735800412516</v>
      </c>
      <c r="M244" s="136">
        <f>BARDEZ!L72</f>
        <v>301.60178313357295</v>
      </c>
      <c r="N244" s="136">
        <f>BARDEZ!M72</f>
        <v>445.2216798638458</v>
      </c>
      <c r="O244" s="136">
        <f>BARDEZ!N72</f>
        <v>39.2375</v>
      </c>
      <c r="P244" s="136">
        <f>BARDEZ!O72</f>
        <v>242.5</v>
      </c>
      <c r="Q244" s="136">
        <f>BARDEZ!P72</f>
        <v>495</v>
      </c>
      <c r="R244" s="136">
        <f>BARDEZ!R72</f>
        <v>28467.97436692839</v>
      </c>
      <c r="T244" s="66">
        <v>10359.3941212854</v>
      </c>
      <c r="U244" s="66">
        <v>367.868526807221</v>
      </c>
      <c r="V244" s="66">
        <v>10727.2626480926</v>
      </c>
      <c r="W244" s="66">
        <v>3947.21047484436</v>
      </c>
      <c r="X244" s="66">
        <v>1500</v>
      </c>
      <c r="Y244" s="66">
        <v>16174.4731229369</v>
      </c>
    </row>
    <row r="245" spans="1:25" ht="18.75">
      <c r="A245" s="138">
        <v>5</v>
      </c>
      <c r="B245" s="138"/>
      <c r="C245" s="138" t="s">
        <v>78</v>
      </c>
      <c r="D245" s="137"/>
      <c r="E245" s="136">
        <f>BARDEZ!D73</f>
        <v>18648.076575722225</v>
      </c>
      <c r="F245" s="136">
        <f>BARDEZ!E73</f>
        <v>921.5402711410061</v>
      </c>
      <c r="G245" s="136">
        <f>BARDEZ!F73</f>
        <v>19569.61684686323</v>
      </c>
      <c r="H245" s="136">
        <f>BARDEZ!G73</f>
        <v>111.54936438634422</v>
      </c>
      <c r="I245" s="136">
        <f>BARDEZ!H73</f>
        <v>104.48171752495391</v>
      </c>
      <c r="J245" s="136">
        <f>BARDEZ!I73</f>
        <v>19785.64792877453</v>
      </c>
      <c r="K245" s="136">
        <f>BARDEZ!J73</f>
        <v>340200.18260419514</v>
      </c>
      <c r="L245" s="136">
        <f>BARDEZ!K73</f>
        <v>6634.366158411992</v>
      </c>
      <c r="M245" s="136">
        <f>BARDEZ!L73</f>
        <v>10132.486496483769</v>
      </c>
      <c r="N245" s="136">
        <f>BARDEZ!M73</f>
        <v>14957.480066237946</v>
      </c>
      <c r="O245" s="136">
        <f>BARDEZ!N73</f>
        <v>196.1875</v>
      </c>
      <c r="P245" s="136">
        <f>BARDEZ!O73</f>
        <v>1212.5</v>
      </c>
      <c r="Q245" s="136">
        <f>BARDEZ!P73</f>
        <v>2475</v>
      </c>
      <c r="R245" s="136">
        <f>BARDEZ!R73</f>
        <v>395593.8507541034</v>
      </c>
      <c r="T245" s="66">
        <v>20717.7882425707</v>
      </c>
      <c r="U245" s="66">
        <v>1035.3186083796</v>
      </c>
      <c r="V245" s="66">
        <v>21753.1068509503</v>
      </c>
      <c r="W245" s="66">
        <v>78902.9098784405</v>
      </c>
      <c r="X245" s="66">
        <v>50393.3683243327</v>
      </c>
      <c r="Y245" s="66">
        <v>151049.385053724</v>
      </c>
    </row>
    <row r="246" spans="1:25" ht="18.75">
      <c r="A246" s="138"/>
      <c r="B246" s="138"/>
      <c r="C246" s="138"/>
      <c r="D246" s="141"/>
      <c r="E246" s="138"/>
      <c r="F246" s="138"/>
      <c r="G246" s="138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T246" s="67"/>
      <c r="U246" s="67"/>
      <c r="V246" s="67"/>
      <c r="W246" s="67"/>
      <c r="X246" s="67"/>
      <c r="Y246" s="67"/>
    </row>
    <row r="247" spans="1:25" ht="18.75">
      <c r="A247" s="138"/>
      <c r="B247" s="138"/>
      <c r="C247" s="138" t="s">
        <v>43</v>
      </c>
      <c r="D247" s="141"/>
      <c r="E247" s="138"/>
      <c r="F247" s="138"/>
      <c r="G247" s="138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T247" s="67"/>
      <c r="U247" s="67"/>
      <c r="V247" s="67"/>
      <c r="W247" s="67"/>
      <c r="X247" s="67"/>
      <c r="Y247" s="67"/>
    </row>
    <row r="248" spans="1:25" ht="18.75">
      <c r="A248" s="138"/>
      <c r="B248" s="138">
        <v>11</v>
      </c>
      <c r="C248" s="138" t="s">
        <v>372</v>
      </c>
      <c r="D248" s="137" t="s">
        <v>508</v>
      </c>
      <c r="E248" s="136">
        <f>BICHOLIM!D32</f>
        <v>0</v>
      </c>
      <c r="F248" s="136">
        <f>BICHOLIM!E32</f>
        <v>6310.785442333936</v>
      </c>
      <c r="G248" s="136">
        <f>BICHOLIM!F32</f>
        <v>6310.785442333936</v>
      </c>
      <c r="H248" s="136">
        <f>BICHOLIM!G32</f>
        <v>763.8994484737284</v>
      </c>
      <c r="I248" s="136">
        <f>BICHOLIM!H32</f>
        <v>715.499607119867</v>
      </c>
      <c r="J248" s="136">
        <f>BICHOLIM!I32</f>
        <v>7790.184497927532</v>
      </c>
      <c r="K248" s="136">
        <f>BICHOLIM!J32</f>
        <v>915.417051019676</v>
      </c>
      <c r="L248" s="136">
        <f>BICHOLIM!K32</f>
        <v>1013.721916348426</v>
      </c>
      <c r="M248" s="136">
        <f>BICHOLIM!L32</f>
        <v>1548.229835877596</v>
      </c>
      <c r="N248" s="136">
        <f>BICHOLIM!M32</f>
        <v>3285.482138676451</v>
      </c>
      <c r="O248" s="136">
        <f>BICHOLIM!N32</f>
        <v>152</v>
      </c>
      <c r="P248" s="136">
        <f>BICHOLIM!O32</f>
        <v>999</v>
      </c>
      <c r="Q248" s="136">
        <f>BICHOLIM!P32</f>
        <v>2009</v>
      </c>
      <c r="R248" s="136">
        <f>BICHOLIM!R32</f>
        <v>17713.03543984968</v>
      </c>
      <c r="T248" s="66">
        <v>0</v>
      </c>
      <c r="U248" s="66">
        <v>7089.94908475324</v>
      </c>
      <c r="V248" s="66">
        <v>7089.94908475324</v>
      </c>
      <c r="W248" s="66">
        <v>212.316125000086</v>
      </c>
      <c r="X248" s="66">
        <v>7700.03655047317</v>
      </c>
      <c r="Y248" s="66">
        <v>15002.3017602265</v>
      </c>
    </row>
    <row r="249" spans="1:25" ht="18.75">
      <c r="A249" s="138"/>
      <c r="B249" s="138">
        <v>12</v>
      </c>
      <c r="C249" s="138" t="s">
        <v>43</v>
      </c>
      <c r="D249" s="137" t="s">
        <v>507</v>
      </c>
      <c r="E249" s="136">
        <f>BICHOLIM!D33</f>
        <v>0</v>
      </c>
      <c r="F249" s="136">
        <f>BICHOLIM!E33</f>
        <v>803.7630716816186</v>
      </c>
      <c r="G249" s="136">
        <f>BICHOLIM!F33</f>
        <v>803.7630716816186</v>
      </c>
      <c r="H249" s="136">
        <f>BICHOLIM!G33</f>
        <v>97.29282872498722</v>
      </c>
      <c r="I249" s="136">
        <f>BICHOLIM!H33</f>
        <v>91.12846051583836</v>
      </c>
      <c r="J249" s="136">
        <f>BICHOLIM!I33</f>
        <v>992.1843609224442</v>
      </c>
      <c r="K249" s="136">
        <f>BICHOLIM!J33</f>
        <v>0</v>
      </c>
      <c r="L249" s="136">
        <f>BICHOLIM!K33</f>
        <v>50.685855221058794</v>
      </c>
      <c r="M249" s="136">
        <f>BICHOLIM!L33</f>
        <v>577.411124337617</v>
      </c>
      <c r="N249" s="136">
        <f>BICHOLIM!M33</f>
        <v>114.27356449838709</v>
      </c>
      <c r="O249" s="136">
        <f>BICHOLIM!N33</f>
        <v>165</v>
      </c>
      <c r="P249" s="136">
        <f>BICHOLIM!O33</f>
        <v>999</v>
      </c>
      <c r="Q249" s="136">
        <f>BICHOLIM!P33</f>
        <v>2009</v>
      </c>
      <c r="R249" s="136">
        <f>BICHOLIM!R33</f>
        <v>4907.554904979507</v>
      </c>
      <c r="T249" s="66">
        <v>0</v>
      </c>
      <c r="U249" s="66">
        <v>903</v>
      </c>
      <c r="V249" s="66">
        <v>903</v>
      </c>
      <c r="W249" s="66">
        <v>0</v>
      </c>
      <c r="X249" s="66">
        <v>385</v>
      </c>
      <c r="Y249" s="66">
        <v>1288</v>
      </c>
    </row>
    <row r="250" spans="1:25" ht="18.75">
      <c r="A250" s="138">
        <v>2</v>
      </c>
      <c r="B250" s="138"/>
      <c r="C250" s="138" t="s">
        <v>78</v>
      </c>
      <c r="D250" s="137"/>
      <c r="E250" s="136">
        <f>BICHOLIM!D34</f>
        <v>0</v>
      </c>
      <c r="F250" s="136">
        <f>BICHOLIM!E34</f>
        <v>7114.548514015554</v>
      </c>
      <c r="G250" s="136">
        <f>BICHOLIM!F34</f>
        <v>7114.548514015554</v>
      </c>
      <c r="H250" s="136">
        <f>BICHOLIM!G34</f>
        <v>861.1922771987156</v>
      </c>
      <c r="I250" s="136">
        <f>BICHOLIM!H34</f>
        <v>806.6280676357054</v>
      </c>
      <c r="J250" s="136">
        <f>BICHOLIM!I34</f>
        <v>8782.368858849975</v>
      </c>
      <c r="K250" s="136">
        <f>BICHOLIM!J34</f>
        <v>915.417051019676</v>
      </c>
      <c r="L250" s="136">
        <f>BICHOLIM!K34</f>
        <v>1065</v>
      </c>
      <c r="M250" s="136">
        <f>BICHOLIM!L34</f>
        <v>2125.640960215213</v>
      </c>
      <c r="N250" s="136">
        <f>BICHOLIM!M34</f>
        <v>3399.7557031748383</v>
      </c>
      <c r="O250" s="136">
        <f>BICHOLIM!N34</f>
        <v>317</v>
      </c>
      <c r="P250" s="136">
        <f>BICHOLIM!O34</f>
        <v>1998</v>
      </c>
      <c r="Q250" s="136">
        <f>BICHOLIM!P34</f>
        <v>4018</v>
      </c>
      <c r="R250" s="136">
        <f>BICHOLIM!R34</f>
        <v>22620.590344829187</v>
      </c>
      <c r="T250" s="66">
        <v>0</v>
      </c>
      <c r="U250" s="66">
        <v>7992.94908475324</v>
      </c>
      <c r="V250" s="66">
        <v>7992.94908475324</v>
      </c>
      <c r="W250" s="66">
        <v>212.316125000086</v>
      </c>
      <c r="X250" s="66">
        <v>8085.03655047316</v>
      </c>
      <c r="Y250" s="66">
        <v>16290.3017602265</v>
      </c>
    </row>
    <row r="251" spans="1:25" ht="18.75">
      <c r="A251" s="138"/>
      <c r="B251" s="138"/>
      <c r="C251" s="138"/>
      <c r="D251" s="141"/>
      <c r="E251" s="138"/>
      <c r="F251" s="138"/>
      <c r="G251" s="138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T251" s="67"/>
      <c r="U251" s="67"/>
      <c r="V251" s="67"/>
      <c r="W251" s="67"/>
      <c r="X251" s="67"/>
      <c r="Y251" s="67"/>
    </row>
    <row r="252" spans="1:25" ht="18.75">
      <c r="A252" s="138"/>
      <c r="B252" s="138"/>
      <c r="C252" s="138" t="s">
        <v>45</v>
      </c>
      <c r="D252" s="141"/>
      <c r="E252" s="138"/>
      <c r="F252" s="138"/>
      <c r="G252" s="138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T252" s="67"/>
      <c r="U252" s="67"/>
      <c r="V252" s="67"/>
      <c r="W252" s="67"/>
      <c r="X252" s="67"/>
      <c r="Y252" s="67"/>
    </row>
    <row r="253" spans="1:25" s="85" customFormat="1" ht="18.75">
      <c r="A253" s="138">
        <v>1</v>
      </c>
      <c r="B253" s="138">
        <v>13</v>
      </c>
      <c r="C253" s="138" t="s">
        <v>515</v>
      </c>
      <c r="D253" s="137" t="s">
        <v>508</v>
      </c>
      <c r="E253" s="136">
        <f>'TRAIL SATTARI'!D25</f>
        <v>41452.834454289805</v>
      </c>
      <c r="F253" s="136">
        <f>'TRAIL SATTARI'!E25</f>
        <v>134477.2041912057</v>
      </c>
      <c r="G253" s="136">
        <f>'TRAIL SATTARI'!F25</f>
        <v>175930.03864549552</v>
      </c>
      <c r="H253" s="136">
        <f>'TRAIL SATTARI'!G25</f>
        <v>16278.015320381284</v>
      </c>
      <c r="I253" s="136">
        <f>'TRAIL SATTARI'!H25</f>
        <v>15246.657907260605</v>
      </c>
      <c r="J253" s="136">
        <f>'TRAIL SATTARI'!I25</f>
        <v>207454.71187313742</v>
      </c>
      <c r="K253" s="136">
        <f>'TRAIL SATTARI'!J25</f>
        <v>353595.8449309034</v>
      </c>
      <c r="L253" s="136">
        <f>'TRAIL SATTARI'!K25</f>
        <v>4887.626528384277</v>
      </c>
      <c r="M253" s="136">
        <f>'TRAIL SATTARI'!L25</f>
        <v>8464.738697895984</v>
      </c>
      <c r="N253" s="136">
        <f>'TRAIL SATTARI'!M25</f>
        <v>16019.37617308455</v>
      </c>
      <c r="O253" s="136">
        <f>'TRAIL SATTARI'!N25</f>
        <v>418.53333333333336</v>
      </c>
      <c r="P253" s="136">
        <f>'TRAIL SATTARI'!O25</f>
        <v>2586.6666666666665</v>
      </c>
      <c r="Q253" s="136">
        <f>'TRAIL SATTARI'!P25</f>
        <v>5345</v>
      </c>
      <c r="R253" s="136">
        <f>'TRAIL SATTARI'!Q25</f>
        <v>598772.4982034056</v>
      </c>
      <c r="T253" s="86">
        <v>46055.8221983551</v>
      </c>
      <c r="U253" s="86">
        <v>151080.48585835</v>
      </c>
      <c r="V253" s="86">
        <v>197136.308056705</v>
      </c>
      <c r="W253" s="86">
        <v>82010.8163030569</v>
      </c>
      <c r="X253" s="86">
        <v>37125.9646782885</v>
      </c>
      <c r="Y253" s="86">
        <v>316273.089038051</v>
      </c>
    </row>
    <row r="254" spans="1:25" ht="18.75">
      <c r="A254" s="138"/>
      <c r="B254" s="138"/>
      <c r="C254" s="138"/>
      <c r="D254" s="141"/>
      <c r="E254" s="138"/>
      <c r="F254" s="138"/>
      <c r="G254" s="138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T254" s="67"/>
      <c r="U254" s="67"/>
      <c r="V254" s="67"/>
      <c r="W254" s="67"/>
      <c r="X254" s="67"/>
      <c r="Y254" s="67"/>
    </row>
    <row r="255" spans="1:25" ht="18.75">
      <c r="A255" s="138"/>
      <c r="B255" s="138"/>
      <c r="C255" s="138" t="s">
        <v>44</v>
      </c>
      <c r="D255" s="141"/>
      <c r="E255" s="138"/>
      <c r="F255" s="138"/>
      <c r="G255" s="138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T255" s="67"/>
      <c r="U255" s="67"/>
      <c r="V255" s="67"/>
      <c r="W255" s="67"/>
      <c r="X255" s="67"/>
      <c r="Y255" s="67"/>
    </row>
    <row r="256" spans="1:25" ht="18.75">
      <c r="A256" s="138"/>
      <c r="B256" s="138">
        <v>14</v>
      </c>
      <c r="C256" s="138" t="s">
        <v>409</v>
      </c>
      <c r="D256" s="137" t="s">
        <v>508</v>
      </c>
      <c r="E256" s="136">
        <f>PERNEM!D31</f>
        <v>19617.220229526727</v>
      </c>
      <c r="F256" s="136">
        <f>PERNEM!E31</f>
        <v>23750.249583683006</v>
      </c>
      <c r="G256" s="136">
        <f>PERNEM!F31</f>
        <v>43367.46981320973</v>
      </c>
      <c r="H256" s="136">
        <f>PERNEM!G31</f>
        <v>2874.8881932165705</v>
      </c>
      <c r="I256" s="136">
        <f>PERNEM!H31</f>
        <v>2692.7383922973777</v>
      </c>
      <c r="J256" s="136">
        <f>PERNEM!I31</f>
        <v>48935.096398723676</v>
      </c>
      <c r="K256" s="136">
        <f>PERNEM!J31</f>
        <v>68408.71320890449</v>
      </c>
      <c r="L256" s="136">
        <f>PERNEM!K31</f>
        <v>966.7458084000868</v>
      </c>
      <c r="M256" s="136">
        <f>PERNEM!L31</f>
        <v>1476.4845073746778</v>
      </c>
      <c r="N256" s="136">
        <f>PERNEM!M31</f>
        <v>2179.5723680292867</v>
      </c>
      <c r="O256" s="136">
        <f>PERNEM!N31</f>
        <v>232</v>
      </c>
      <c r="P256" s="136">
        <f>PERNEM!O31</f>
        <v>1437</v>
      </c>
      <c r="Q256" s="136">
        <f>PERNEM!P31</f>
        <v>2969</v>
      </c>
      <c r="R256" s="136">
        <f>PERNEM!R31</f>
        <v>126604.61229143222</v>
      </c>
      <c r="T256" s="66">
        <v>21795.5471275031</v>
      </c>
      <c r="U256" s="66">
        <v>26682.5836240471</v>
      </c>
      <c r="V256" s="66">
        <v>48479.1307515502</v>
      </c>
      <c r="W256" s="66">
        <v>15866.2905487486</v>
      </c>
      <c r="X256" s="66">
        <v>7343.31285893275</v>
      </c>
      <c r="Y256" s="66">
        <v>71687.7341592316</v>
      </c>
    </row>
    <row r="257" spans="1:25" ht="18.75">
      <c r="A257" s="138"/>
      <c r="B257" s="138">
        <v>15</v>
      </c>
      <c r="C257" s="138" t="s">
        <v>410</v>
      </c>
      <c r="D257" s="137" t="s">
        <v>508</v>
      </c>
      <c r="E257" s="136">
        <f>PERNEM!D32</f>
        <v>31610.504445618953</v>
      </c>
      <c r="F257" s="136">
        <f>PERNEM!E32</f>
        <v>15213.25736975127</v>
      </c>
      <c r="G257" s="136">
        <f>PERNEM!F32</f>
        <v>46823.76181537022</v>
      </c>
      <c r="H257" s="136">
        <f>PERNEM!G32</f>
        <v>1841.5138686673372</v>
      </c>
      <c r="I257" s="136">
        <f>PERNEM!H32</f>
        <v>1724.8375452683424</v>
      </c>
      <c r="J257" s="136">
        <f>PERNEM!I32</f>
        <v>50390.1132293059</v>
      </c>
      <c r="K257" s="136">
        <f>PERNEM!J32</f>
        <v>243023.07635592145</v>
      </c>
      <c r="L257" s="136">
        <f>PERNEM!K32</f>
        <v>4010.061613243555</v>
      </c>
      <c r="M257" s="136">
        <f>PERNEM!L32</f>
        <v>6124.457736590155</v>
      </c>
      <c r="N257" s="136">
        <f>PERNEM!M32</f>
        <v>9040.866182585469</v>
      </c>
      <c r="O257" s="136">
        <f>PERNEM!N32</f>
        <v>232</v>
      </c>
      <c r="P257" s="136">
        <f>PERNEM!O32</f>
        <v>1437</v>
      </c>
      <c r="Q257" s="136">
        <f>PERNEM!P32</f>
        <v>2969</v>
      </c>
      <c r="R257" s="136">
        <f>PERNEM!R32</f>
        <v>317226.57511764654</v>
      </c>
      <c r="T257" s="66">
        <v>35120.5844307971</v>
      </c>
      <c r="U257" s="66">
        <v>17091.5682604625</v>
      </c>
      <c r="V257" s="66">
        <v>52213.1526912596</v>
      </c>
      <c r="W257" s="66">
        <v>56365.2575621297</v>
      </c>
      <c r="X257" s="66">
        <v>30460.061738853</v>
      </c>
      <c r="Y257" s="66">
        <v>139038.471992242</v>
      </c>
    </row>
    <row r="258" spans="1:25" s="80" customFormat="1" ht="18.75">
      <c r="A258" s="138">
        <v>2</v>
      </c>
      <c r="B258" s="138"/>
      <c r="C258" s="138" t="s">
        <v>78</v>
      </c>
      <c r="D258" s="137"/>
      <c r="E258" s="136">
        <f>PERNEM!D33</f>
        <v>51227.724675145684</v>
      </c>
      <c r="F258" s="136">
        <f>PERNEM!E33</f>
        <v>38963.50695343428</v>
      </c>
      <c r="G258" s="136">
        <f>PERNEM!F33</f>
        <v>90191.23162857996</v>
      </c>
      <c r="H258" s="136">
        <f>PERNEM!G33</f>
        <v>4716.402061883908</v>
      </c>
      <c r="I258" s="136">
        <f>PERNEM!H33</f>
        <v>4417.57593756572</v>
      </c>
      <c r="J258" s="136">
        <f>PERNEM!I33</f>
        <v>99325.20962802958</v>
      </c>
      <c r="K258" s="136">
        <f>PERNEM!J33</f>
        <v>311431.78956482594</v>
      </c>
      <c r="L258" s="136">
        <f>PERNEM!K33</f>
        <v>4976.807421643642</v>
      </c>
      <c r="M258" s="136">
        <f>PERNEM!L33</f>
        <v>7600.942243964833</v>
      </c>
      <c r="N258" s="136">
        <f>PERNEM!M33</f>
        <v>11220.438550614756</v>
      </c>
      <c r="O258" s="136">
        <f>PERNEM!N33</f>
        <v>464</v>
      </c>
      <c r="P258" s="136">
        <f>PERNEM!O33</f>
        <v>2874</v>
      </c>
      <c r="Q258" s="136">
        <f>PERNEM!P33</f>
        <v>5938</v>
      </c>
      <c r="R258" s="136">
        <f>PERNEM!R33</f>
        <v>443831.18740907876</v>
      </c>
      <c r="T258" s="81">
        <v>56917.1315583002</v>
      </c>
      <c r="U258" s="81">
        <v>43775.1518845096</v>
      </c>
      <c r="V258" s="81">
        <v>100692.28344281</v>
      </c>
      <c r="W258" s="81">
        <v>72230.5481108782</v>
      </c>
      <c r="X258" s="81">
        <v>37803.3745977858</v>
      </c>
      <c r="Y258" s="81">
        <v>210726.206151474</v>
      </c>
    </row>
    <row r="259" spans="1:25" ht="18.75">
      <c r="A259" s="138"/>
      <c r="B259" s="138"/>
      <c r="C259" s="138"/>
      <c r="D259" s="141"/>
      <c r="E259" s="138"/>
      <c r="F259" s="138"/>
      <c r="G259" s="138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T259" s="67"/>
      <c r="U259" s="67"/>
      <c r="V259" s="67"/>
      <c r="W259" s="67"/>
      <c r="X259" s="67"/>
      <c r="Y259" s="67"/>
    </row>
    <row r="260" spans="1:25" ht="18.75">
      <c r="A260" s="136">
        <v>15</v>
      </c>
      <c r="B260" s="138"/>
      <c r="C260" s="143" t="s">
        <v>17</v>
      </c>
      <c r="D260" s="144"/>
      <c r="E260" s="145">
        <f aca="true" t="shared" si="12" ref="E260:R260">E237+E245+E250+E253+E258</f>
        <v>207621.22338825866</v>
      </c>
      <c r="F260" s="145">
        <f t="shared" si="12"/>
        <v>244751.323525523</v>
      </c>
      <c r="G260" s="145">
        <f t="shared" si="12"/>
        <v>452372.5469137817</v>
      </c>
      <c r="H260" s="145">
        <f t="shared" si="12"/>
        <v>29626.32825387518</v>
      </c>
      <c r="I260" s="145">
        <f t="shared" si="12"/>
        <v>27749.236196471647</v>
      </c>
      <c r="J260" s="145">
        <f t="shared" si="12"/>
        <v>509748.11136412853</v>
      </c>
      <c r="K260" s="145">
        <f t="shared" si="12"/>
        <v>1084851.8285188056</v>
      </c>
      <c r="L260" s="145">
        <f t="shared" si="12"/>
        <v>29397.69977800401</v>
      </c>
      <c r="M260" s="145">
        <f t="shared" si="12"/>
        <v>46397.40062116679</v>
      </c>
      <c r="N260" s="145">
        <f t="shared" si="12"/>
        <v>72277.11520267479</v>
      </c>
      <c r="O260" s="145">
        <f t="shared" si="12"/>
        <v>1575.0808333333334</v>
      </c>
      <c r="P260" s="145">
        <f t="shared" si="12"/>
        <v>9779.166666666666</v>
      </c>
      <c r="Q260" s="145">
        <f t="shared" si="12"/>
        <v>20066.714285714286</v>
      </c>
      <c r="R260" s="145">
        <f t="shared" si="12"/>
        <v>1774092.525042063</v>
      </c>
      <c r="T260" s="71">
        <v>231431.746278392</v>
      </c>
      <c r="U260" s="71">
        <v>274972.643331776</v>
      </c>
      <c r="V260" s="71">
        <v>506405.389610168</v>
      </c>
      <c r="W260" s="71">
        <v>251733.045490761</v>
      </c>
      <c r="X260" s="71">
        <v>227089.156594504</v>
      </c>
      <c r="Y260" s="71">
        <v>985226.591695433</v>
      </c>
    </row>
    <row r="261" spans="1:25" ht="18.75">
      <c r="A261" s="138"/>
      <c r="B261" s="138"/>
      <c r="C261" s="138"/>
      <c r="D261" s="141"/>
      <c r="E261" s="138"/>
      <c r="F261" s="138"/>
      <c r="G261" s="138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T261" s="67"/>
      <c r="U261" s="67"/>
      <c r="V261" s="67"/>
      <c r="W261" s="67"/>
      <c r="X261" s="67"/>
      <c r="Y261" s="67"/>
    </row>
    <row r="262" spans="1:25" ht="18.75">
      <c r="A262" s="138"/>
      <c r="B262" s="138"/>
      <c r="C262" s="143" t="s">
        <v>461</v>
      </c>
      <c r="D262" s="141"/>
      <c r="E262" s="138"/>
      <c r="F262" s="138"/>
      <c r="G262" s="138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T262" s="67"/>
      <c r="U262" s="67"/>
      <c r="V262" s="67"/>
      <c r="W262" s="67"/>
      <c r="X262" s="67"/>
      <c r="Y262" s="67"/>
    </row>
    <row r="263" spans="1:25" ht="18.75">
      <c r="A263" s="138"/>
      <c r="B263" s="138"/>
      <c r="C263" s="138" t="s">
        <v>41</v>
      </c>
      <c r="D263" s="141"/>
      <c r="E263" s="138"/>
      <c r="F263" s="138"/>
      <c r="G263" s="138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T263" s="67"/>
      <c r="U263" s="67"/>
      <c r="V263" s="67"/>
      <c r="W263" s="67"/>
      <c r="X263" s="67"/>
      <c r="Y263" s="67"/>
    </row>
    <row r="264" spans="1:25" ht="18.75">
      <c r="A264" s="138"/>
      <c r="B264" s="138">
        <v>1</v>
      </c>
      <c r="C264" s="138" t="s">
        <v>109</v>
      </c>
      <c r="D264" s="137" t="s">
        <v>507</v>
      </c>
      <c r="E264" s="136">
        <f>'TISWADI '!D84</f>
        <v>0</v>
      </c>
      <c r="F264" s="136">
        <f>'TISWADI '!E84</f>
        <v>4105.756016530361</v>
      </c>
      <c r="G264" s="136">
        <f>'TISWADI '!F84</f>
        <v>4105.756016530361</v>
      </c>
      <c r="H264" s="136">
        <f>'TISWADI '!G84</f>
        <v>496.9880192021386</v>
      </c>
      <c r="I264" s="136">
        <f>'TISWADI '!H84</f>
        <v>465.49939680266766</v>
      </c>
      <c r="J264" s="136">
        <f>'TISWADI '!I84</f>
        <v>5068.243432535167</v>
      </c>
      <c r="K264" s="136">
        <f>'TISWADI '!J84</f>
        <v>69139.89538173113</v>
      </c>
      <c r="L264" s="136">
        <f>'TISWADI '!K84</f>
        <v>24418.803446382997</v>
      </c>
      <c r="M264" s="136">
        <f>'TISWADI '!L84</f>
        <v>37199.62708174858</v>
      </c>
      <c r="N264" s="136">
        <f>'TISWADI '!M84</f>
        <v>53504.21140639076</v>
      </c>
      <c r="O264" s="136">
        <f>'TISWADI '!N84</f>
        <v>44.84</v>
      </c>
      <c r="P264" s="136">
        <f>'TISWADI '!O84</f>
        <v>274</v>
      </c>
      <c r="Q264" s="136">
        <f>'TISWADI '!P84</f>
        <v>572</v>
      </c>
      <c r="R264" s="136">
        <f>'TISWADI '!S84</f>
        <v>190221.6207487886</v>
      </c>
      <c r="T264" s="66">
        <v>0</v>
      </c>
      <c r="U264" s="66">
        <v>4612.6748211636</v>
      </c>
      <c r="V264" s="66">
        <v>4612.6748211636</v>
      </c>
      <c r="W264" s="66">
        <v>16035.8763844404</v>
      </c>
      <c r="X264" s="66">
        <v>186999.692232074</v>
      </c>
      <c r="Y264" s="66">
        <v>207649.243437678</v>
      </c>
    </row>
    <row r="265" spans="1:25" ht="18.75">
      <c r="A265" s="138"/>
      <c r="B265" s="138">
        <v>2</v>
      </c>
      <c r="C265" s="138" t="s">
        <v>110</v>
      </c>
      <c r="D265" s="137" t="s">
        <v>507</v>
      </c>
      <c r="E265" s="136">
        <f>'TISWADI '!D85</f>
        <v>0</v>
      </c>
      <c r="F265" s="136">
        <f>'TISWADI '!E85</f>
        <v>2331.3008135886294</v>
      </c>
      <c r="G265" s="136">
        <f>'TISWADI '!F85</f>
        <v>2331.3008135886294</v>
      </c>
      <c r="H265" s="136">
        <f>'TISWADI '!G85</f>
        <v>282.1961579901345</v>
      </c>
      <c r="I265" s="136">
        <f>'TISWADI '!H85</f>
        <v>264.3165151854684</v>
      </c>
      <c r="J265" s="136">
        <f>'TISWADI '!I85</f>
        <v>2877.813486764232</v>
      </c>
      <c r="K265" s="136">
        <f>'TISWADI '!J85</f>
        <v>31342.430145343777</v>
      </c>
      <c r="L265" s="136">
        <f>'TISWADI '!K85</f>
        <v>10807.201949719225</v>
      </c>
      <c r="M265" s="136">
        <f>'TISWADI '!L85</f>
        <v>15999.544795934813</v>
      </c>
      <c r="N265" s="136">
        <f>'TISWADI '!M85</f>
        <v>24365.32803209425</v>
      </c>
      <c r="O265" s="136">
        <f>'TISWADI '!N85</f>
        <v>44.84</v>
      </c>
      <c r="P265" s="136">
        <f>'TISWADI '!O85</f>
        <v>274</v>
      </c>
      <c r="Q265" s="136">
        <f>'TISWADI '!P85</f>
        <v>572</v>
      </c>
      <c r="R265" s="136">
        <f>'TISWADI '!S85</f>
        <v>86283.15840985629</v>
      </c>
      <c r="T265" s="66">
        <v>0</v>
      </c>
      <c r="U265" s="66">
        <v>2619.13579864542</v>
      </c>
      <c r="V265" s="66">
        <v>2619.13579864542</v>
      </c>
      <c r="W265" s="66">
        <v>7269.36788989551</v>
      </c>
      <c r="X265" s="66">
        <v>82089.4257874374</v>
      </c>
      <c r="Y265" s="66">
        <v>91976.9294759783</v>
      </c>
    </row>
    <row r="266" spans="1:25" ht="18.75">
      <c r="A266" s="138"/>
      <c r="B266" s="138">
        <v>3</v>
      </c>
      <c r="C266" s="138" t="s">
        <v>111</v>
      </c>
      <c r="D266" s="137" t="s">
        <v>508</v>
      </c>
      <c r="E266" s="136">
        <f>'TISWADI '!D86</f>
        <v>0</v>
      </c>
      <c r="F266" s="136">
        <f>'TISWADI '!E86</f>
        <v>725.467873025899</v>
      </c>
      <c r="G266" s="136">
        <f>'TISWADI '!F86</f>
        <v>725.467873025899</v>
      </c>
      <c r="H266" s="136">
        <f>'TISWADI '!G86</f>
        <v>87.81545707010083</v>
      </c>
      <c r="I266" s="136">
        <f>'TISWADI '!H86</f>
        <v>82.25156486007018</v>
      </c>
      <c r="J266" s="136">
        <f>'TISWADI '!I86</f>
        <v>895.53489495607</v>
      </c>
      <c r="K266" s="136">
        <f>'TISWADI '!J86</f>
        <v>2740.493813115499</v>
      </c>
      <c r="L266" s="136">
        <f>'TISWADI '!K86</f>
        <v>335.2719107742004</v>
      </c>
      <c r="M266" s="136">
        <f>'TISWADI '!L86</f>
        <v>512.0516455460515</v>
      </c>
      <c r="N266" s="136">
        <f>'TISWADI '!M86</f>
        <v>755.8857624727428</v>
      </c>
      <c r="O266" s="136">
        <f>'TISWADI '!N86</f>
        <v>44.84</v>
      </c>
      <c r="P266" s="136">
        <f>'TISWADI '!O86</f>
        <v>274</v>
      </c>
      <c r="Q266" s="136">
        <f>'TISWADI '!P86</f>
        <v>572</v>
      </c>
      <c r="R266" s="136">
        <f>'TISWADI '!S86</f>
        <v>6130.078026864563</v>
      </c>
      <c r="T266" s="66">
        <v>0</v>
      </c>
      <c r="U266" s="66">
        <v>815.03805340522</v>
      </c>
      <c r="V266" s="66">
        <v>815.03805340522</v>
      </c>
      <c r="W266" s="66">
        <v>635.613053459375</v>
      </c>
      <c r="X266" s="66">
        <v>2546.66089947788</v>
      </c>
      <c r="Y266" s="66">
        <v>3998.31200634248</v>
      </c>
    </row>
    <row r="267" spans="1:25" ht="18.75">
      <c r="A267" s="138"/>
      <c r="B267" s="138">
        <v>4</v>
      </c>
      <c r="C267" s="138" t="s">
        <v>112</v>
      </c>
      <c r="D267" s="137" t="s">
        <v>508</v>
      </c>
      <c r="E267" s="136">
        <f>'TISWADI '!D87</f>
        <v>200</v>
      </c>
      <c r="F267" s="136">
        <f>'TISWADI '!E87</f>
        <v>0</v>
      </c>
      <c r="G267" s="136">
        <f>'TISWADI '!F87</f>
        <v>200</v>
      </c>
      <c r="H267" s="136">
        <f>'TISWADI '!G87</f>
        <v>0</v>
      </c>
      <c r="I267" s="136">
        <f>'TISWADI '!H87</f>
        <v>0</v>
      </c>
      <c r="J267" s="136">
        <f>'TISWADI '!I87</f>
        <v>200</v>
      </c>
      <c r="K267" s="136">
        <f>'TISWADI '!J87</f>
        <v>0</v>
      </c>
      <c r="L267" s="136">
        <f>'TISWADI '!K87</f>
        <v>112.43044249034858</v>
      </c>
      <c r="M267" s="136">
        <f>'TISWADI '!L87</f>
        <v>171.71194853071418</v>
      </c>
      <c r="N267" s="136">
        <f>'TISWADI '!M87</f>
        <v>253.4795430691495</v>
      </c>
      <c r="O267" s="136">
        <f>'TISWADI '!N87</f>
        <v>44.84</v>
      </c>
      <c r="P267" s="136">
        <f>'TISWADI '!O87</f>
        <v>274</v>
      </c>
      <c r="Q267" s="136">
        <f>'TISWADI '!P87</f>
        <v>572</v>
      </c>
      <c r="R267" s="136">
        <f>'TISWADI '!S87</f>
        <v>1628.4619340902123</v>
      </c>
      <c r="T267" s="66">
        <v>0</v>
      </c>
      <c r="U267" s="66">
        <v>0</v>
      </c>
      <c r="V267" s="66">
        <v>0</v>
      </c>
      <c r="W267" s="66">
        <v>0</v>
      </c>
      <c r="X267" s="66">
        <v>854</v>
      </c>
      <c r="Y267" s="66">
        <v>854</v>
      </c>
    </row>
    <row r="268" spans="1:25" ht="18.75">
      <c r="A268" s="138"/>
      <c r="B268" s="138">
        <v>5</v>
      </c>
      <c r="C268" s="138" t="s">
        <v>73</v>
      </c>
      <c r="D268" s="137" t="s">
        <v>507</v>
      </c>
      <c r="E268" s="136">
        <f>'TISWADI '!D88</f>
        <v>0</v>
      </c>
      <c r="F268" s="136">
        <f>'TISWADI '!E88</f>
        <v>0</v>
      </c>
      <c r="G268" s="136">
        <f>'TISWADI '!F88</f>
        <v>0</v>
      </c>
      <c r="H268" s="136">
        <f>'TISWADI '!G88</f>
        <v>0</v>
      </c>
      <c r="I268" s="136">
        <f>'TISWADI '!H88</f>
        <v>0</v>
      </c>
      <c r="J268" s="136">
        <f>'TISWADI '!I88</f>
        <v>0</v>
      </c>
      <c r="K268" s="136">
        <f>'TISWADI '!J88</f>
        <v>0</v>
      </c>
      <c r="L268" s="136">
        <f>'TISWADI '!K88</f>
        <v>40.082035257198456</v>
      </c>
      <c r="M268" s="136">
        <f>'TISWADI '!L88</f>
        <v>61.216199301903096</v>
      </c>
      <c r="N268" s="136">
        <f>'TISWADI '!M88</f>
        <v>90.36677039804744</v>
      </c>
      <c r="O268" s="136">
        <f>'TISWADI '!N88</f>
        <v>44.84</v>
      </c>
      <c r="P268" s="136">
        <f>'TISWADI '!O88</f>
        <v>274</v>
      </c>
      <c r="Q268" s="136">
        <f>'TISWADI '!P88</f>
        <v>572</v>
      </c>
      <c r="R268" s="136">
        <f>'TISWADI '!S88</f>
        <v>1082.5050049571491</v>
      </c>
      <c r="T268" s="66">
        <v>0</v>
      </c>
      <c r="U268" s="66">
        <v>0</v>
      </c>
      <c r="V268" s="66">
        <v>0</v>
      </c>
      <c r="W268" s="66">
        <v>0</v>
      </c>
      <c r="X268" s="66">
        <v>294</v>
      </c>
      <c r="Y268" s="66">
        <v>294</v>
      </c>
    </row>
    <row r="269" spans="1:25" ht="18.75">
      <c r="A269" s="138"/>
      <c r="B269" s="138">
        <v>6</v>
      </c>
      <c r="C269" s="138" t="s">
        <v>113</v>
      </c>
      <c r="D269" s="137" t="s">
        <v>507</v>
      </c>
      <c r="E269" s="136">
        <f>'TISWADI '!D89</f>
        <v>0</v>
      </c>
      <c r="F269" s="136">
        <f>'TISWADI '!E89</f>
        <v>0</v>
      </c>
      <c r="G269" s="136">
        <f>'TISWADI '!F89</f>
        <v>0</v>
      </c>
      <c r="H269" s="136">
        <f>'TISWADI '!G89</f>
        <v>0</v>
      </c>
      <c r="I269" s="136">
        <f>'TISWADI '!H89</f>
        <v>0</v>
      </c>
      <c r="J269" s="136">
        <f>'TISWADI '!I89</f>
        <v>0</v>
      </c>
      <c r="K269" s="136">
        <f>'TISWADI '!J89</f>
        <v>522.8832764606358</v>
      </c>
      <c r="L269" s="136">
        <f>'TISWADI '!K89</f>
        <v>460.83163548019115</v>
      </c>
      <c r="M269" s="136">
        <f>'TISWADI '!L89</f>
        <v>703.8155887333829</v>
      </c>
      <c r="N269" s="136">
        <f>'TISWADI '!M89</f>
        <v>1038.9658690826127</v>
      </c>
      <c r="O269" s="136">
        <f>'TISWADI '!N89</f>
        <v>44.84</v>
      </c>
      <c r="P269" s="136">
        <f>'TISWADI '!O89</f>
        <v>274</v>
      </c>
      <c r="Q269" s="136">
        <f>'TISWADI '!P89</f>
        <v>572</v>
      </c>
      <c r="R269" s="136">
        <f>'TISWADI '!S89</f>
        <v>3617.336369756823</v>
      </c>
      <c r="T269" s="66">
        <v>0</v>
      </c>
      <c r="U269" s="66">
        <v>0</v>
      </c>
      <c r="V269" s="66">
        <v>0</v>
      </c>
      <c r="W269" s="66">
        <v>121.274288</v>
      </c>
      <c r="X269" s="66">
        <v>3500.3884</v>
      </c>
      <c r="Y269" s="66">
        <v>3620.662688</v>
      </c>
    </row>
    <row r="270" spans="1:25" ht="18.75">
      <c r="A270" s="138">
        <v>6</v>
      </c>
      <c r="B270" s="138"/>
      <c r="C270" s="138" t="s">
        <v>17</v>
      </c>
      <c r="D270" s="137"/>
      <c r="E270" s="136">
        <f>'TISWADI '!D90</f>
        <v>200</v>
      </c>
      <c r="F270" s="136">
        <f>'TISWADI '!E90</f>
        <v>7162.52470314489</v>
      </c>
      <c r="G270" s="136">
        <f>'TISWADI '!F90</f>
        <v>7362.52470314489</v>
      </c>
      <c r="H270" s="136">
        <f>'TISWADI '!G90</f>
        <v>866.999634262374</v>
      </c>
      <c r="I270" s="136">
        <f>'TISWADI '!H90</f>
        <v>812.0674768482063</v>
      </c>
      <c r="J270" s="136">
        <f>'TISWADI '!I90</f>
        <v>9041.59181425547</v>
      </c>
      <c r="K270" s="136">
        <f>'TISWADI '!J90</f>
        <v>103745.70261665103</v>
      </c>
      <c r="L270" s="136">
        <f>'TISWADI '!K90</f>
        <v>36174.62142010416</v>
      </c>
      <c r="M270" s="136">
        <f>'TISWADI '!L90</f>
        <v>54647.96725979545</v>
      </c>
      <c r="N270" s="136">
        <f>'TISWADI '!M90</f>
        <v>80008.23738350756</v>
      </c>
      <c r="O270" s="136">
        <f>'TISWADI '!N90</f>
        <v>269.04</v>
      </c>
      <c r="P270" s="136">
        <f>'TISWADI '!O90</f>
        <v>1644</v>
      </c>
      <c r="Q270" s="136">
        <f>'TISWADI '!P90</f>
        <v>3432</v>
      </c>
      <c r="R270" s="136">
        <f>'TISWADI '!S90</f>
        <v>288963.16049431363</v>
      </c>
      <c r="T270" s="66">
        <v>0</v>
      </c>
      <c r="U270" s="66">
        <v>8046.84867321423</v>
      </c>
      <c r="V270" s="66">
        <v>8046.84867321423</v>
      </c>
      <c r="W270" s="66">
        <v>24062.1316157953</v>
      </c>
      <c r="X270" s="66">
        <v>276284.167318989</v>
      </c>
      <c r="Y270" s="66">
        <v>308393.147607999</v>
      </c>
    </row>
    <row r="271" spans="1:25" ht="18.75">
      <c r="A271" s="138"/>
      <c r="B271" s="138"/>
      <c r="C271" s="138"/>
      <c r="D271" s="141"/>
      <c r="E271" s="138"/>
      <c r="F271" s="138"/>
      <c r="G271" s="138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T271" s="67"/>
      <c r="U271" s="67"/>
      <c r="V271" s="67"/>
      <c r="W271" s="67"/>
      <c r="X271" s="67"/>
      <c r="Y271" s="67"/>
    </row>
    <row r="272" spans="1:25" ht="18.75">
      <c r="A272" s="138"/>
      <c r="B272" s="138"/>
      <c r="C272" s="138" t="s">
        <v>42</v>
      </c>
      <c r="D272" s="141"/>
      <c r="E272" s="138"/>
      <c r="F272" s="138"/>
      <c r="G272" s="138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T272" s="67"/>
      <c r="U272" s="67"/>
      <c r="V272" s="67"/>
      <c r="W272" s="67"/>
      <c r="X272" s="67"/>
      <c r="Y272" s="67"/>
    </row>
    <row r="273" spans="1:25" ht="18.75">
      <c r="A273" s="138"/>
      <c r="B273" s="138">
        <v>7</v>
      </c>
      <c r="C273" s="138" t="s">
        <v>252</v>
      </c>
      <c r="D273" s="137" t="s">
        <v>507</v>
      </c>
      <c r="E273" s="136">
        <f>BARDEZ!D76</f>
        <v>0</v>
      </c>
      <c r="F273" s="136">
        <f>BARDEZ!E76</f>
        <v>984.2834385378443</v>
      </c>
      <c r="G273" s="136">
        <f>BARDEZ!F76</f>
        <v>984.2834385378443</v>
      </c>
      <c r="H273" s="136">
        <f>BARDEZ!G76</f>
        <v>119.14421472754256</v>
      </c>
      <c r="I273" s="136">
        <f>BARDEZ!H76</f>
        <v>111.59536637771714</v>
      </c>
      <c r="J273" s="136">
        <f>BARDEZ!I76</f>
        <v>1215.023019643104</v>
      </c>
      <c r="K273" s="136">
        <f>BARDEZ!J76</f>
        <v>128308.07798128595</v>
      </c>
      <c r="L273" s="136">
        <f>BARDEZ!K76</f>
        <v>17239.240810050593</v>
      </c>
      <c r="M273" s="136">
        <f>BARDEZ!L76</f>
        <v>26329.02232807727</v>
      </c>
      <c r="N273" s="136">
        <f>BARDEZ!M76</f>
        <v>38866.65200811406</v>
      </c>
      <c r="O273" s="136">
        <f>BARDEZ!N76</f>
        <v>39.2375</v>
      </c>
      <c r="P273" s="136">
        <f>BARDEZ!O76</f>
        <v>243</v>
      </c>
      <c r="Q273" s="136">
        <f>BARDEZ!P76</f>
        <v>495</v>
      </c>
      <c r="R273" s="136">
        <f>BARDEZ!R76</f>
        <v>212735.25364717096</v>
      </c>
      <c r="T273" s="66">
        <v>0</v>
      </c>
      <c r="U273" s="66">
        <v>1105.80838597141</v>
      </c>
      <c r="V273" s="66">
        <v>1105.80838597141</v>
      </c>
      <c r="W273" s="66">
        <v>29758.9758600749</v>
      </c>
      <c r="X273" s="66">
        <v>130945.954900489</v>
      </c>
      <c r="Y273" s="66">
        <v>161810.739146535</v>
      </c>
    </row>
    <row r="274" spans="1:25" ht="18.75">
      <c r="A274" s="138"/>
      <c r="B274" s="138">
        <v>8</v>
      </c>
      <c r="C274" s="138" t="s">
        <v>253</v>
      </c>
      <c r="D274" s="137" t="s">
        <v>507</v>
      </c>
      <c r="E274" s="136">
        <f>BARDEZ!D77</f>
        <v>0</v>
      </c>
      <c r="F274" s="136">
        <f>BARDEZ!E77</f>
        <v>0</v>
      </c>
      <c r="G274" s="136">
        <f>BARDEZ!F77</f>
        <v>0</v>
      </c>
      <c r="H274" s="136">
        <f>BARDEZ!G77</f>
        <v>0</v>
      </c>
      <c r="I274" s="136">
        <f>BARDEZ!H77</f>
        <v>0</v>
      </c>
      <c r="J274" s="136">
        <f>BARDEZ!I77</f>
        <v>0</v>
      </c>
      <c r="K274" s="136">
        <f>BARDEZ!J77</f>
        <v>20329.167340569</v>
      </c>
      <c r="L274" s="136">
        <f>BARDEZ!K77</f>
        <v>8690.773843990059</v>
      </c>
      <c r="M274" s="136">
        <f>BARDEZ!L77</f>
        <v>13273.18187082118</v>
      </c>
      <c r="N274" s="136">
        <f>BARDEZ!M77</f>
        <v>19593.74466645031</v>
      </c>
      <c r="O274" s="136">
        <f>BARDEZ!N77</f>
        <v>39.2375</v>
      </c>
      <c r="P274" s="136">
        <f>BARDEZ!O77</f>
        <v>243</v>
      </c>
      <c r="Q274" s="136">
        <f>BARDEZ!P77</f>
        <v>495</v>
      </c>
      <c r="R274" s="136">
        <f>BARDEZ!R77</f>
        <v>62664.105221830556</v>
      </c>
      <c r="T274" s="66">
        <v>0</v>
      </c>
      <c r="U274" s="66">
        <v>0</v>
      </c>
      <c r="V274" s="66">
        <v>0</v>
      </c>
      <c r="W274" s="66">
        <v>4715.02036085096</v>
      </c>
      <c r="X274" s="66">
        <v>66013.4452766619</v>
      </c>
      <c r="Y274" s="66">
        <v>70728.4656375129</v>
      </c>
    </row>
    <row r="275" spans="1:25" ht="18.75">
      <c r="A275" s="138"/>
      <c r="B275" s="138">
        <v>9</v>
      </c>
      <c r="C275" s="138" t="s">
        <v>254</v>
      </c>
      <c r="D275" s="137" t="s">
        <v>508</v>
      </c>
      <c r="E275" s="136">
        <f>BARDEZ!D78</f>
        <v>0</v>
      </c>
      <c r="F275" s="136">
        <f>BARDEZ!E78</f>
        <v>656.8425336856116</v>
      </c>
      <c r="G275" s="136">
        <f>BARDEZ!F78</f>
        <v>656.8425336856116</v>
      </c>
      <c r="H275" s="136">
        <f>BARDEZ!G78</f>
        <v>79.50858950941566</v>
      </c>
      <c r="I275" s="136">
        <f>BARDEZ!H78</f>
        <v>74.47101142736086</v>
      </c>
      <c r="J275" s="136">
        <f>BARDEZ!I78</f>
        <v>810.8221346223881</v>
      </c>
      <c r="K275" s="136">
        <f>BARDEZ!J78</f>
        <v>2032.3410000625486</v>
      </c>
      <c r="L275" s="136">
        <f>BARDEZ!K78</f>
        <v>2173.273516206462</v>
      </c>
      <c r="M275" s="136">
        <f>BARDEZ!L78</f>
        <v>3319.1813702062327</v>
      </c>
      <c r="N275" s="136">
        <f>BARDEZ!M78</f>
        <v>4899.743927447295</v>
      </c>
      <c r="O275" s="136">
        <f>BARDEZ!N78</f>
        <v>39.2375</v>
      </c>
      <c r="P275" s="136">
        <f>BARDEZ!O78</f>
        <v>243</v>
      </c>
      <c r="Q275" s="136">
        <f>BARDEZ!P78</f>
        <v>495</v>
      </c>
      <c r="R275" s="136">
        <f>BARDEZ!R78</f>
        <v>14012.599448544926</v>
      </c>
      <c r="T275" s="66">
        <v>0</v>
      </c>
      <c r="U275" s="66">
        <v>737.939859164186</v>
      </c>
      <c r="V275" s="66">
        <v>737.939859164186</v>
      </c>
      <c r="W275" s="66">
        <v>471.368503931008</v>
      </c>
      <c r="X275" s="66">
        <v>16507.7673068808</v>
      </c>
      <c r="Y275" s="66">
        <v>17717.075669976</v>
      </c>
    </row>
    <row r="276" spans="1:25" ht="18.75">
      <c r="A276" s="138"/>
      <c r="B276" s="138">
        <v>10</v>
      </c>
      <c r="C276" s="138" t="s">
        <v>255</v>
      </c>
      <c r="D276" s="137" t="s">
        <v>508</v>
      </c>
      <c r="E276" s="136">
        <f>BARDEZ!D79</f>
        <v>239.18742286771464</v>
      </c>
      <c r="F276" s="136">
        <f>BARDEZ!E79</f>
        <v>3278.3304964846056</v>
      </c>
      <c r="G276" s="136">
        <f>BARDEZ!F79</f>
        <v>3517.5179193523204</v>
      </c>
      <c r="H276" s="136">
        <f>BARDEZ!G79</f>
        <v>396.83093032759115</v>
      </c>
      <c r="I276" s="136">
        <f>BARDEZ!H79</f>
        <v>371.6881525568579</v>
      </c>
      <c r="J276" s="136">
        <f>BARDEZ!I79</f>
        <v>4286.03700223677</v>
      </c>
      <c r="K276" s="136">
        <f>BARDEZ!J79</f>
        <v>20329.167340569</v>
      </c>
      <c r="L276" s="136">
        <f>BARDEZ!K79</f>
        <v>8690.773843990059</v>
      </c>
      <c r="M276" s="136">
        <f>BARDEZ!L79</f>
        <v>13273.18187082118</v>
      </c>
      <c r="N276" s="136">
        <f>BARDEZ!M79</f>
        <v>19593.74466645031</v>
      </c>
      <c r="O276" s="136">
        <f>BARDEZ!N79</f>
        <v>39.2375</v>
      </c>
      <c r="P276" s="136">
        <f>BARDEZ!O79</f>
        <v>243</v>
      </c>
      <c r="Q276" s="136">
        <f>BARDEZ!P79</f>
        <v>495</v>
      </c>
      <c r="R276" s="136">
        <f>BARDEZ!R79</f>
        <v>66950.14222406733</v>
      </c>
      <c r="T276" s="66">
        <v>265.747169396235</v>
      </c>
      <c r="U276" s="66">
        <v>3683.0908791717</v>
      </c>
      <c r="V276" s="66">
        <v>3948.83804856793</v>
      </c>
      <c r="W276" s="66">
        <v>4715.02036085096</v>
      </c>
      <c r="X276" s="66">
        <v>66013.4452766619</v>
      </c>
      <c r="Y276" s="66">
        <v>74677.3036860808</v>
      </c>
    </row>
    <row r="277" spans="1:25" ht="18.75">
      <c r="A277" s="138"/>
      <c r="B277" s="138">
        <v>11</v>
      </c>
      <c r="C277" s="138" t="s">
        <v>256</v>
      </c>
      <c r="D277" s="137" t="s">
        <v>508</v>
      </c>
      <c r="E277" s="136">
        <f>BARDEZ!D80</f>
        <v>0</v>
      </c>
      <c r="F277" s="136">
        <f>BARDEZ!E80</f>
        <v>3039.1221707841723</v>
      </c>
      <c r="G277" s="136">
        <f>BARDEZ!F80</f>
        <v>3039.1221707841723</v>
      </c>
      <c r="H277" s="136">
        <f>BARDEZ!G80</f>
        <v>367.8755634017739</v>
      </c>
      <c r="I277" s="136">
        <f>BARDEZ!H80</f>
        <v>344.56736630569947</v>
      </c>
      <c r="J277" s="136">
        <f>BARDEZ!I80</f>
        <v>3751.565100491646</v>
      </c>
      <c r="K277" s="136">
        <f>BARDEZ!J80</f>
        <v>22165.75878255186</v>
      </c>
      <c r="L277" s="136">
        <f>BARDEZ!K80</f>
        <v>5510.5244850430845</v>
      </c>
      <c r="M277" s="136">
        <f>BARDEZ!L80</f>
        <v>8416.073758974893</v>
      </c>
      <c r="N277" s="136">
        <f>BARDEZ!M80</f>
        <v>12423.727929915318</v>
      </c>
      <c r="O277" s="136">
        <f>BARDEZ!N80</f>
        <v>39.2375</v>
      </c>
      <c r="P277" s="136">
        <f>BARDEZ!O80</f>
        <v>243</v>
      </c>
      <c r="Q277" s="136">
        <f>BARDEZ!P80</f>
        <v>495</v>
      </c>
      <c r="R277" s="136">
        <f>BARDEZ!R80</f>
        <v>53044.8875569768</v>
      </c>
      <c r="T277" s="66">
        <v>0</v>
      </c>
      <c r="U277" s="66">
        <v>3414.34860210295</v>
      </c>
      <c r="V277" s="66">
        <v>3414.34860210295</v>
      </c>
      <c r="W277" s="66">
        <v>5140.98793239201</v>
      </c>
      <c r="X277" s="66">
        <v>41856.8832959167</v>
      </c>
      <c r="Y277" s="66">
        <v>50412.2198304116</v>
      </c>
    </row>
    <row r="278" spans="1:25" ht="18.75">
      <c r="A278" s="138"/>
      <c r="B278" s="138">
        <v>12</v>
      </c>
      <c r="C278" s="138" t="s">
        <v>257</v>
      </c>
      <c r="D278" s="137" t="s">
        <v>507</v>
      </c>
      <c r="E278" s="136">
        <f>BARDEZ!D81</f>
        <v>0</v>
      </c>
      <c r="F278" s="136">
        <f>BARDEZ!E81</f>
        <v>656.8425336856116</v>
      </c>
      <c r="G278" s="136">
        <f>BARDEZ!F81</f>
        <v>656.8425336856116</v>
      </c>
      <c r="H278" s="136">
        <f>BARDEZ!G81</f>
        <v>79.50858950941566</v>
      </c>
      <c r="I278" s="136">
        <f>BARDEZ!H81</f>
        <v>74.47101142736086</v>
      </c>
      <c r="J278" s="136">
        <f>BARDEZ!I81</f>
        <v>810.8221346223881</v>
      </c>
      <c r="K278" s="136">
        <f>BARDEZ!J81</f>
        <v>40658.334681138</v>
      </c>
      <c r="L278" s="136">
        <f>BARDEZ!K81</f>
        <v>6518.660438201496</v>
      </c>
      <c r="M278" s="136">
        <f>BARDEZ!L81</f>
        <v>9955.772305616829</v>
      </c>
      <c r="N278" s="136">
        <f>BARDEZ!M81</f>
        <v>14696.616260672463</v>
      </c>
      <c r="O278" s="136">
        <f>BARDEZ!N81</f>
        <v>39.2375</v>
      </c>
      <c r="P278" s="136">
        <f>BARDEZ!O81</f>
        <v>243</v>
      </c>
      <c r="Q278" s="136">
        <f>BARDEZ!P81</f>
        <v>495</v>
      </c>
      <c r="R278" s="136">
        <f>BARDEZ!R81</f>
        <v>73417.44332025119</v>
      </c>
      <c r="T278" s="66">
        <v>0</v>
      </c>
      <c r="U278" s="66">
        <v>737.939859164186</v>
      </c>
      <c r="V278" s="66">
        <v>737.939859164186</v>
      </c>
      <c r="W278" s="66">
        <v>9430.04072170192</v>
      </c>
      <c r="X278" s="66">
        <v>49514.4899452118</v>
      </c>
      <c r="Y278" s="66">
        <v>59682.4705260779</v>
      </c>
    </row>
    <row r="279" spans="1:25" ht="18.75">
      <c r="A279" s="138"/>
      <c r="B279" s="138">
        <v>13</v>
      </c>
      <c r="C279" s="138" t="s">
        <v>258</v>
      </c>
      <c r="D279" s="137" t="s">
        <v>508</v>
      </c>
      <c r="E279" s="136">
        <f>BARDEZ!D82</f>
        <v>0</v>
      </c>
      <c r="F279" s="136">
        <f>BARDEZ!E82</f>
        <v>1552.8933930716632</v>
      </c>
      <c r="G279" s="136">
        <f>BARDEZ!F82</f>
        <v>1552.8933930716632</v>
      </c>
      <c r="H279" s="136">
        <f>BARDEZ!G82</f>
        <v>187.9725459446494</v>
      </c>
      <c r="I279" s="136">
        <f>BARDEZ!H82</f>
        <v>176.06280910588094</v>
      </c>
      <c r="J279" s="136">
        <f>BARDEZ!I82</f>
        <v>1916.9287481221936</v>
      </c>
      <c r="K279" s="136">
        <f>BARDEZ!J82</f>
        <v>14335.776459364739</v>
      </c>
      <c r="L279" s="136">
        <f>BARDEZ!K82</f>
        <v>4397.205187328059</v>
      </c>
      <c r="M279" s="136">
        <f>BARDEZ!L82</f>
        <v>6715.731558828308</v>
      </c>
      <c r="N279" s="136">
        <f>BARDEZ!M82</f>
        <v>9913.69896779417</v>
      </c>
      <c r="O279" s="136">
        <f>BARDEZ!N82</f>
        <v>39.2375</v>
      </c>
      <c r="P279" s="136">
        <f>BARDEZ!O82</f>
        <v>243</v>
      </c>
      <c r="Q279" s="136">
        <f>BARDEZ!P82</f>
        <v>495</v>
      </c>
      <c r="R279" s="136">
        <f>BARDEZ!R82</f>
        <v>38056.57842143747</v>
      </c>
      <c r="T279" s="66">
        <v>0</v>
      </c>
      <c r="U279" s="66">
        <v>1744.62199539713</v>
      </c>
      <c r="V279" s="66">
        <v>1744.62199539713</v>
      </c>
      <c r="W279" s="66">
        <v>3324.9506367938</v>
      </c>
      <c r="X279" s="66">
        <v>33400.3242075697</v>
      </c>
      <c r="Y279" s="66">
        <v>38469.8968397606</v>
      </c>
    </row>
    <row r="280" spans="1:25" ht="18.75">
      <c r="A280" s="138"/>
      <c r="B280" s="138">
        <v>14</v>
      </c>
      <c r="C280" s="138" t="s">
        <v>259</v>
      </c>
      <c r="D280" s="137" t="s">
        <v>508</v>
      </c>
      <c r="E280" s="136">
        <f>BARDEZ!D83</f>
        <v>448.47641787696443</v>
      </c>
      <c r="F280" s="136">
        <f>BARDEZ!E83</f>
        <v>1472.5037098444666</v>
      </c>
      <c r="G280" s="136">
        <f>BARDEZ!F83</f>
        <v>1920.980127721431</v>
      </c>
      <c r="H280" s="136">
        <f>BARDEZ!G83</f>
        <v>178.24164394498928</v>
      </c>
      <c r="I280" s="136">
        <f>BARDEZ!H83</f>
        <v>166.94844651327833</v>
      </c>
      <c r="J280" s="136">
        <f>BARDEZ!I83</f>
        <v>2266.1702181796986</v>
      </c>
      <c r="K280" s="136">
        <f>BARDEZ!J83</f>
        <v>10173.21968019973</v>
      </c>
      <c r="L280" s="136">
        <f>BARDEZ!K83</f>
        <v>6886.802144149626</v>
      </c>
      <c r="M280" s="136">
        <f>BARDEZ!L83</f>
        <v>10518.025092883063</v>
      </c>
      <c r="N280" s="136">
        <f>BARDEZ!M83</f>
        <v>15526.608470446428</v>
      </c>
      <c r="O280" s="136">
        <f>BARDEZ!N83</f>
        <v>39.2375</v>
      </c>
      <c r="P280" s="136">
        <f>BARDEZ!O83</f>
        <v>243</v>
      </c>
      <c r="Q280" s="136">
        <f>BARDEZ!P83</f>
        <v>495</v>
      </c>
      <c r="R280" s="136">
        <f>BARDEZ!R83</f>
        <v>46148.06310585855</v>
      </c>
      <c r="T280" s="66">
        <v>498.27594261794</v>
      </c>
      <c r="U280" s="66">
        <v>1654.30696785763</v>
      </c>
      <c r="V280" s="66">
        <v>2151.58291047557</v>
      </c>
      <c r="W280" s="66">
        <v>2359.51316273679</v>
      </c>
      <c r="X280" s="66">
        <v>52310.8234818933</v>
      </c>
      <c r="Y280" s="66">
        <v>56822.9195551057</v>
      </c>
    </row>
    <row r="281" spans="1:25" ht="18.75">
      <c r="A281" s="138"/>
      <c r="B281" s="138">
        <v>15</v>
      </c>
      <c r="C281" s="138" t="s">
        <v>260</v>
      </c>
      <c r="D281" s="137" t="s">
        <v>508</v>
      </c>
      <c r="E281" s="136">
        <f>BARDEZ!D84</f>
        <v>0</v>
      </c>
      <c r="F281" s="136">
        <f>BARDEZ!E84</f>
        <v>3441.070586920138</v>
      </c>
      <c r="G281" s="136">
        <f>BARDEZ!F84</f>
        <v>3441.070586920138</v>
      </c>
      <c r="H281" s="136">
        <f>BARDEZ!G84</f>
        <v>416.5300734000723</v>
      </c>
      <c r="I281" s="136">
        <f>BARDEZ!H84</f>
        <v>390.1391792687107</v>
      </c>
      <c r="J281" s="136">
        <f>BARDEZ!I84</f>
        <v>4247.739839588921</v>
      </c>
      <c r="K281" s="136">
        <f>BARDEZ!J84</f>
        <v>10173.21968019973</v>
      </c>
      <c r="L281" s="136">
        <f>BARDEZ!K84</f>
        <v>4345.386921995036</v>
      </c>
      <c r="M281" s="136">
        <f>BARDEZ!L84</f>
        <v>6636.590935410599</v>
      </c>
      <c r="N281" s="136">
        <f>BARDEZ!M84</f>
        <v>9796.87233322517</v>
      </c>
      <c r="O281" s="136">
        <f>BARDEZ!N84</f>
        <v>39.2375</v>
      </c>
      <c r="P281" s="136">
        <f>BARDEZ!O84</f>
        <v>243</v>
      </c>
      <c r="Q281" s="136">
        <f>BARDEZ!P84</f>
        <v>495</v>
      </c>
      <c r="R281" s="136">
        <f>BARDEZ!R84</f>
        <v>35977.047210419456</v>
      </c>
      <c r="T281" s="66">
        <v>0</v>
      </c>
      <c r="U281" s="66">
        <v>3865.92373980043</v>
      </c>
      <c r="V281" s="66">
        <v>3865.92373980043</v>
      </c>
      <c r="W281" s="66">
        <v>2359.51316273679</v>
      </c>
      <c r="X281" s="66">
        <v>33006.722638331</v>
      </c>
      <c r="Y281" s="66">
        <v>39233.1595408682</v>
      </c>
    </row>
    <row r="282" spans="1:25" ht="18.75">
      <c r="A282" s="138"/>
      <c r="B282" s="138">
        <v>16</v>
      </c>
      <c r="C282" s="138" t="s">
        <v>261</v>
      </c>
      <c r="D282" s="137" t="s">
        <v>508</v>
      </c>
      <c r="E282" s="136">
        <f>BARDEZ!D85</f>
        <v>0</v>
      </c>
      <c r="F282" s="136">
        <f>BARDEZ!E85</f>
        <v>1615.6365604684863</v>
      </c>
      <c r="G282" s="136">
        <f>BARDEZ!F85</f>
        <v>1615.6365604684863</v>
      </c>
      <c r="H282" s="136">
        <f>BARDEZ!G85</f>
        <v>195.5673962858459</v>
      </c>
      <c r="I282" s="136">
        <f>BARDEZ!H85</f>
        <v>183.1764579586425</v>
      </c>
      <c r="J282" s="136">
        <f>BARDEZ!I85</f>
        <v>1994.3804147129747</v>
      </c>
      <c r="K282" s="136">
        <f>BARDEZ!J85</f>
        <v>22321.20696102691</v>
      </c>
      <c r="L282" s="136">
        <f>BARDEZ!K85</f>
        <v>3395.2564897318052</v>
      </c>
      <c r="M282" s="136">
        <f>BARDEZ!L85</f>
        <v>5185.48263886312</v>
      </c>
      <c r="N282" s="136">
        <f>BARDEZ!M85</f>
        <v>7654.760085940797</v>
      </c>
      <c r="O282" s="136">
        <f>BARDEZ!N85</f>
        <v>39.2375</v>
      </c>
      <c r="P282" s="136">
        <f>BARDEZ!O85</f>
        <v>243</v>
      </c>
      <c r="Q282" s="136">
        <f>BARDEZ!P85</f>
        <v>495</v>
      </c>
      <c r="R282" s="136">
        <f>BARDEZ!R85</f>
        <v>41328.32409027561</v>
      </c>
      <c r="T282" s="66">
        <v>0</v>
      </c>
      <c r="U282" s="66">
        <v>1815.11177298892</v>
      </c>
      <c r="V282" s="66">
        <v>1815.11177298892</v>
      </c>
      <c r="W282" s="66">
        <v>5177.0416139958</v>
      </c>
      <c r="X282" s="66">
        <v>25789.7147605718</v>
      </c>
      <c r="Y282" s="66">
        <v>32781.8681475565</v>
      </c>
    </row>
    <row r="283" spans="1:25" ht="18.75">
      <c r="A283" s="138"/>
      <c r="B283" s="138">
        <v>17</v>
      </c>
      <c r="C283" s="138" t="s">
        <v>262</v>
      </c>
      <c r="D283" s="137" t="s">
        <v>508</v>
      </c>
      <c r="E283" s="136">
        <f>BARDEZ!D86</f>
        <v>0</v>
      </c>
      <c r="F283" s="136">
        <f>BARDEZ!E86</f>
        <v>4509.665156647483</v>
      </c>
      <c r="G283" s="136">
        <f>BARDEZ!F86</f>
        <v>4509.665156647483</v>
      </c>
      <c r="H283" s="136">
        <f>BARDEZ!G86</f>
        <v>545.8798682736001</v>
      </c>
      <c r="I283" s="136">
        <f>BARDEZ!H86</f>
        <v>511.29351129232833</v>
      </c>
      <c r="J283" s="136">
        <f>BARDEZ!I86</f>
        <v>5566.838536213411</v>
      </c>
      <c r="K283" s="136">
        <f>BARDEZ!J86</f>
        <v>19862.822805143864</v>
      </c>
      <c r="L283" s="136">
        <f>BARDEZ!K86</f>
        <v>3828.3643790825636</v>
      </c>
      <c r="M283" s="136">
        <f>BARDEZ!L86</f>
        <v>5846.956506235188</v>
      </c>
      <c r="N283" s="136">
        <f>BARDEZ!M86</f>
        <v>8631.221509204326</v>
      </c>
      <c r="O283" s="136">
        <f>BARDEZ!N86</f>
        <v>39.2375</v>
      </c>
      <c r="P283" s="136">
        <f>BARDEZ!O86</f>
        <v>243</v>
      </c>
      <c r="Q283" s="136">
        <f>BARDEZ!P86</f>
        <v>495</v>
      </c>
      <c r="R283" s="136">
        <f>BARDEZ!R86</f>
        <v>44513.441235879356</v>
      </c>
      <c r="T283" s="66">
        <v>0</v>
      </c>
      <c r="U283" s="66">
        <v>5066.45276441083</v>
      </c>
      <c r="V283" s="66">
        <v>5066.45276441083</v>
      </c>
      <c r="W283" s="66">
        <v>4606.85931603959</v>
      </c>
      <c r="X283" s="66">
        <v>29079.5189213737</v>
      </c>
      <c r="Y283" s="66">
        <v>38752.8310018241</v>
      </c>
    </row>
    <row r="284" spans="1:25" ht="18.75">
      <c r="A284" s="138"/>
      <c r="B284" s="138">
        <v>18</v>
      </c>
      <c r="C284" s="138" t="s">
        <v>263</v>
      </c>
      <c r="D284" s="137" t="s">
        <v>507</v>
      </c>
      <c r="E284" s="136">
        <f>BARDEZ!D87</f>
        <v>0</v>
      </c>
      <c r="F284" s="136">
        <f>BARDEZ!E87</f>
        <v>1637.2045242611553</v>
      </c>
      <c r="G284" s="136">
        <f>BARDEZ!F87</f>
        <v>1637.2045242611553</v>
      </c>
      <c r="H284" s="136">
        <f>BARDEZ!G87</f>
        <v>198.17812609063355</v>
      </c>
      <c r="I284" s="136">
        <f>BARDEZ!H87</f>
        <v>185.6217747517805</v>
      </c>
      <c r="J284" s="136">
        <f>BARDEZ!I87</f>
        <v>2021.0044251035692</v>
      </c>
      <c r="K284" s="136">
        <f>BARDEZ!J87</f>
        <v>10173.21968019973</v>
      </c>
      <c r="L284" s="136">
        <f>BARDEZ!K87</f>
        <v>3042.1962192164187</v>
      </c>
      <c r="M284" s="136">
        <f>BARDEZ!L87</f>
        <v>4646.263316621439</v>
      </c>
      <c r="N284" s="136">
        <f>BARDEZ!M87</f>
        <v>6858.769657869744</v>
      </c>
      <c r="O284" s="136">
        <f>BARDEZ!N87</f>
        <v>39.2375</v>
      </c>
      <c r="P284" s="136">
        <f>BARDEZ!O87</f>
        <v>243</v>
      </c>
      <c r="Q284" s="136">
        <f>BARDEZ!P87</f>
        <v>495</v>
      </c>
      <c r="R284" s="136">
        <f>BARDEZ!R87</f>
        <v>27518.6907990109</v>
      </c>
      <c r="T284" s="66">
        <v>0</v>
      </c>
      <c r="U284" s="66">
        <v>1839.34263403611</v>
      </c>
      <c r="V284" s="66">
        <v>1839.34263403611</v>
      </c>
      <c r="W284" s="66">
        <v>2359.51316273679</v>
      </c>
      <c r="X284" s="66">
        <v>23107.9369044896</v>
      </c>
      <c r="Y284" s="66">
        <v>27306.7927012625</v>
      </c>
    </row>
    <row r="285" spans="1:25" ht="18.75">
      <c r="A285" s="138"/>
      <c r="B285" s="138">
        <v>19</v>
      </c>
      <c r="C285" s="138" t="s">
        <v>264</v>
      </c>
      <c r="D285" s="137" t="s">
        <v>507</v>
      </c>
      <c r="E285" s="136">
        <f>BARDEZ!D88</f>
        <v>0</v>
      </c>
      <c r="F285" s="136">
        <f>BARDEZ!E88</f>
        <v>0</v>
      </c>
      <c r="G285" s="136">
        <f>BARDEZ!F88</f>
        <v>0</v>
      </c>
      <c r="H285" s="136">
        <f>BARDEZ!G88</f>
        <v>0</v>
      </c>
      <c r="I285" s="136">
        <f>BARDEZ!H88</f>
        <v>0</v>
      </c>
      <c r="J285" s="136">
        <f>BARDEZ!I88</f>
        <v>0</v>
      </c>
      <c r="K285" s="136">
        <f>BARDEZ!J88</f>
        <v>1045.7665529212716</v>
      </c>
      <c r="L285" s="136">
        <f>BARDEZ!K88</f>
        <v>499.5371976489997</v>
      </c>
      <c r="M285" s="136">
        <f>BARDEZ!L88</f>
        <v>762.9295382275632</v>
      </c>
      <c r="N285" s="136">
        <f>BARDEZ!M88</f>
        <v>1126.2293183359266</v>
      </c>
      <c r="O285" s="136">
        <f>BARDEZ!N88</f>
        <v>39.2375</v>
      </c>
      <c r="P285" s="136">
        <f>BARDEZ!O88</f>
        <v>243</v>
      </c>
      <c r="Q285" s="136">
        <f>BARDEZ!P88</f>
        <v>495</v>
      </c>
      <c r="R285" s="136">
        <f>BARDEZ!R88</f>
        <v>4211.700107133762</v>
      </c>
      <c r="T285" s="66">
        <v>0</v>
      </c>
      <c r="U285" s="66">
        <v>0</v>
      </c>
      <c r="V285" s="66">
        <v>0</v>
      </c>
      <c r="W285" s="66">
        <v>242.548576</v>
      </c>
      <c r="X285" s="66">
        <v>3794.3884</v>
      </c>
      <c r="Y285" s="66">
        <v>4036.936976</v>
      </c>
    </row>
    <row r="286" spans="1:25" ht="18.75">
      <c r="A286" s="138"/>
      <c r="B286" s="138">
        <v>20</v>
      </c>
      <c r="C286" s="138" t="s">
        <v>265</v>
      </c>
      <c r="D286" s="137" t="s">
        <v>508</v>
      </c>
      <c r="E286" s="136">
        <f>BARDEZ!D89</f>
        <v>0</v>
      </c>
      <c r="F286" s="136">
        <f>BARDEZ!E89</f>
        <v>1613.6758364873388</v>
      </c>
      <c r="G286" s="136">
        <f>BARDEZ!F89</f>
        <v>1613.6758364873388</v>
      </c>
      <c r="H286" s="136">
        <f>BARDEZ!G89</f>
        <v>195.3300572126839</v>
      </c>
      <c r="I286" s="136">
        <f>BARDEZ!H89</f>
        <v>182.95415643199405</v>
      </c>
      <c r="J286" s="136">
        <f>BARDEZ!I89</f>
        <v>1991.9600501320167</v>
      </c>
      <c r="K286" s="136">
        <f>BARDEZ!J89</f>
        <v>20329.167340569</v>
      </c>
      <c r="L286" s="136">
        <f>BARDEZ!K89</f>
        <v>6518.660438201496</v>
      </c>
      <c r="M286" s="136">
        <f>BARDEZ!L89</f>
        <v>9955.772305616829</v>
      </c>
      <c r="N286" s="136">
        <f>BARDEZ!M89</f>
        <v>14696.616260672463</v>
      </c>
      <c r="O286" s="136">
        <f>BARDEZ!N89</f>
        <v>39.2375</v>
      </c>
      <c r="P286" s="136">
        <f>BARDEZ!O89</f>
        <v>243</v>
      </c>
      <c r="Q286" s="136">
        <f>BARDEZ!P89</f>
        <v>495</v>
      </c>
      <c r="R286" s="136">
        <f>BARDEZ!R89</f>
        <v>54269.41389519181</v>
      </c>
      <c r="T286" s="66">
        <v>0</v>
      </c>
      <c r="U286" s="66">
        <v>1812.90896743918</v>
      </c>
      <c r="V286" s="66">
        <v>1812.90896743918</v>
      </c>
      <c r="W286" s="66">
        <v>4715.02036085096</v>
      </c>
      <c r="X286" s="66">
        <v>49514.4899452118</v>
      </c>
      <c r="Y286" s="66">
        <v>56042.4192735019</v>
      </c>
    </row>
    <row r="287" spans="1:25" ht="18.75">
      <c r="A287" s="138">
        <v>14</v>
      </c>
      <c r="B287" s="138"/>
      <c r="C287" s="138" t="s">
        <v>78</v>
      </c>
      <c r="D287" s="137"/>
      <c r="E287" s="136">
        <f>BARDEZ!D90</f>
        <v>687.6638407446791</v>
      </c>
      <c r="F287" s="136">
        <f>BARDEZ!E90</f>
        <v>24458.070940878577</v>
      </c>
      <c r="G287" s="136">
        <f>BARDEZ!F90</f>
        <v>25145.734781623258</v>
      </c>
      <c r="H287" s="136">
        <f>BARDEZ!G90</f>
        <v>2960.567598628214</v>
      </c>
      <c r="I287" s="136">
        <f>BARDEZ!H90</f>
        <v>2772.9892434176113</v>
      </c>
      <c r="J287" s="136">
        <f>BARDEZ!I90</f>
        <v>30879.29162366908</v>
      </c>
      <c r="K287" s="136">
        <f>BARDEZ!J90</f>
        <v>342237.2462858013</v>
      </c>
      <c r="L287" s="136">
        <f>BARDEZ!K90</f>
        <v>81736.65591483575</v>
      </c>
      <c r="M287" s="136">
        <f>BARDEZ!L90</f>
        <v>124834.1653972037</v>
      </c>
      <c r="N287" s="136">
        <f>BARDEZ!M90</f>
        <v>184279.0060625388</v>
      </c>
      <c r="O287" s="136">
        <f>BARDEZ!N90</f>
        <v>549.325</v>
      </c>
      <c r="P287" s="136">
        <f>BARDEZ!O90</f>
        <v>3402</v>
      </c>
      <c r="Q287" s="136">
        <f>BARDEZ!P90</f>
        <v>6930</v>
      </c>
      <c r="R287" s="136">
        <f>BARDEZ!R90</f>
        <v>774847.6902840488</v>
      </c>
      <c r="T287" s="66">
        <v>764.023112014175</v>
      </c>
      <c r="U287" s="66">
        <v>27476.7964275046</v>
      </c>
      <c r="V287" s="66">
        <v>28240.8195395188</v>
      </c>
      <c r="W287" s="66">
        <v>79378.3737316923</v>
      </c>
      <c r="X287" s="66">
        <v>620854.905261263</v>
      </c>
      <c r="Y287" s="66">
        <v>728474.098532474</v>
      </c>
    </row>
    <row r="288" spans="1:25" ht="18.75">
      <c r="A288" s="138"/>
      <c r="B288" s="138"/>
      <c r="C288" s="138"/>
      <c r="D288" s="141"/>
      <c r="E288" s="138"/>
      <c r="F288" s="138"/>
      <c r="G288" s="138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T288" s="67"/>
      <c r="U288" s="67"/>
      <c r="V288" s="67"/>
      <c r="W288" s="67"/>
      <c r="X288" s="67"/>
      <c r="Y288" s="67"/>
    </row>
    <row r="289" spans="1:25" ht="18.75">
      <c r="A289" s="138">
        <v>1</v>
      </c>
      <c r="B289" s="138">
        <v>27</v>
      </c>
      <c r="C289" s="138" t="s">
        <v>43</v>
      </c>
      <c r="D289" s="137"/>
      <c r="E289" s="136">
        <f>BICHOLIM!D37</f>
        <v>9067.76604907427</v>
      </c>
      <c r="F289" s="136">
        <f>BICHOLIM!E37</f>
        <v>8819.861977122335</v>
      </c>
      <c r="G289" s="136">
        <f>BICHOLIM!F37</f>
        <v>17887.628026196602</v>
      </c>
      <c r="H289" s="136">
        <f>BICHOLIM!G37</f>
        <v>1067.6147622991307</v>
      </c>
      <c r="I289" s="136">
        <f>BICHOLIM!H37</f>
        <v>999.9718477433474</v>
      </c>
      <c r="J289" s="136">
        <f>BICHOLIM!I37</f>
        <v>19955.21463623908</v>
      </c>
      <c r="K289" s="136">
        <f>BICHOLIM!J37</f>
        <v>13985.107229988904</v>
      </c>
      <c r="L289" s="136">
        <f>BICHOLIM!K37</f>
        <v>0</v>
      </c>
      <c r="M289" s="136">
        <f>BICHOLIM!L37</f>
        <v>0</v>
      </c>
      <c r="N289" s="136">
        <f>BICHOLIM!M37</f>
        <v>0</v>
      </c>
      <c r="O289" s="136">
        <f>BICHOLIM!N37</f>
        <v>165</v>
      </c>
      <c r="P289" s="136">
        <f>BICHOLIM!O37</f>
        <v>999</v>
      </c>
      <c r="Q289" s="136">
        <f>BICHOLIM!P37</f>
        <v>2009</v>
      </c>
      <c r="R289" s="136">
        <f>BICHOLIM!R37</f>
        <v>37113.32186622798</v>
      </c>
      <c r="T289" s="66">
        <v>10074.665011218</v>
      </c>
      <c r="U289" s="66">
        <v>9908.80975494262</v>
      </c>
      <c r="V289" s="66">
        <v>19984.4747661606</v>
      </c>
      <c r="W289" s="66">
        <v>3243.61860146093</v>
      </c>
      <c r="X289" s="66">
        <v>149999.919203527</v>
      </c>
      <c r="Y289" s="66">
        <v>173228.012571148</v>
      </c>
    </row>
    <row r="290" spans="1:25" ht="18.75">
      <c r="A290" s="138"/>
      <c r="B290" s="138"/>
      <c r="C290" s="138"/>
      <c r="D290" s="141"/>
      <c r="E290" s="138"/>
      <c r="F290" s="138"/>
      <c r="G290" s="138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T290" s="67"/>
      <c r="U290" s="67"/>
      <c r="V290" s="67"/>
      <c r="W290" s="67"/>
      <c r="X290" s="67"/>
      <c r="Y290" s="67"/>
    </row>
    <row r="291" spans="1:25" ht="18.75">
      <c r="A291" s="138"/>
      <c r="B291" s="138"/>
      <c r="C291" s="138" t="s">
        <v>45</v>
      </c>
      <c r="D291" s="141"/>
      <c r="E291" s="138"/>
      <c r="F291" s="138"/>
      <c r="G291" s="138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T291" s="67"/>
      <c r="U291" s="67"/>
      <c r="V291" s="67"/>
      <c r="W291" s="67"/>
      <c r="X291" s="67"/>
      <c r="Y291" s="67"/>
    </row>
    <row r="292" spans="1:25" s="85" customFormat="1" ht="18.75">
      <c r="A292" s="138">
        <v>1</v>
      </c>
      <c r="B292" s="138">
        <v>28</v>
      </c>
      <c r="C292" s="138" t="s">
        <v>437</v>
      </c>
      <c r="D292" s="137" t="s">
        <v>508</v>
      </c>
      <c r="E292" s="136">
        <f>'TRAIL SATTARI'!D22</f>
        <v>105</v>
      </c>
      <c r="F292" s="136">
        <f>'TRAIL SATTARI'!E22</f>
        <v>0</v>
      </c>
      <c r="G292" s="136">
        <f>'TRAIL SATTARI'!F22</f>
        <v>105</v>
      </c>
      <c r="H292" s="136">
        <f>'TRAIL SATTARI'!G22</f>
        <v>0</v>
      </c>
      <c r="I292" s="136">
        <f>'TRAIL SATTARI'!H22</f>
        <v>0</v>
      </c>
      <c r="J292" s="136">
        <f>'TRAIL SATTARI'!I22</f>
        <v>105</v>
      </c>
      <c r="K292" s="136">
        <f>'TRAIL SATTARI'!J22</f>
        <v>0</v>
      </c>
      <c r="L292" s="136">
        <f>'TRAIL SATTARI'!K22</f>
        <v>2109.249094769326</v>
      </c>
      <c r="M292" s="136">
        <f>'TRAIL SATTARI'!L22</f>
        <v>2005.3258901931524</v>
      </c>
      <c r="N292" s="136">
        <f>'TRAIL SATTARI'!M22</f>
        <v>6484.052504570844</v>
      </c>
      <c r="O292" s="136">
        <f>'TRAIL SATTARI'!N22</f>
        <v>418.53333333333336</v>
      </c>
      <c r="P292" s="136">
        <f>'TRAIL SATTARI'!O22</f>
        <v>2586.6666666666665</v>
      </c>
      <c r="Q292" s="136">
        <f>'TRAIL SATTARI'!P22</f>
        <v>5345</v>
      </c>
      <c r="R292" s="136">
        <f>SUM(J292:Q292)</f>
        <v>19053.827489533323</v>
      </c>
      <c r="T292" s="86">
        <v>5</v>
      </c>
      <c r="U292" s="86">
        <v>0</v>
      </c>
      <c r="V292" s="86">
        <v>5</v>
      </c>
      <c r="W292" s="86">
        <v>0</v>
      </c>
      <c r="X292" s="86">
        <v>5000</v>
      </c>
      <c r="Y292" s="86">
        <v>5005</v>
      </c>
    </row>
    <row r="293" spans="1:25" ht="18.75">
      <c r="A293" s="138"/>
      <c r="B293" s="138"/>
      <c r="C293" s="138"/>
      <c r="D293" s="141"/>
      <c r="E293" s="138"/>
      <c r="F293" s="138"/>
      <c r="G293" s="138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T293" s="67"/>
      <c r="U293" s="67"/>
      <c r="V293" s="67"/>
      <c r="W293" s="67"/>
      <c r="X293" s="67"/>
      <c r="Y293" s="67"/>
    </row>
    <row r="294" spans="1:25" ht="18.75">
      <c r="A294" s="138"/>
      <c r="B294" s="138"/>
      <c r="C294" s="138" t="s">
        <v>44</v>
      </c>
      <c r="D294" s="141"/>
      <c r="E294" s="138"/>
      <c r="F294" s="138"/>
      <c r="G294" s="138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T294" s="67"/>
      <c r="U294" s="67"/>
      <c r="V294" s="67"/>
      <c r="W294" s="67"/>
      <c r="X294" s="67"/>
      <c r="Y294" s="67"/>
    </row>
    <row r="295" spans="1:25" s="80" customFormat="1" ht="18.75">
      <c r="A295" s="138">
        <v>1</v>
      </c>
      <c r="B295" s="138">
        <v>29</v>
      </c>
      <c r="C295" s="138" t="s">
        <v>411</v>
      </c>
      <c r="D295" s="137" t="s">
        <v>508</v>
      </c>
      <c r="E295" s="136">
        <f>PERNEM!D36</f>
        <v>14094.671621475767</v>
      </c>
      <c r="F295" s="136">
        <f>PERNEM!E36</f>
        <v>17646.51583035967</v>
      </c>
      <c r="G295" s="136">
        <f>PERNEM!F36</f>
        <v>31741.187451835438</v>
      </c>
      <c r="H295" s="136">
        <f>PERNEM!G36</f>
        <v>2136.051658461908</v>
      </c>
      <c r="I295" s="136">
        <f>PERNEM!H36</f>
        <v>2000.7137398395405</v>
      </c>
      <c r="J295" s="136">
        <f>PERNEM!I36</f>
        <v>35877.95285013689</v>
      </c>
      <c r="K295" s="136">
        <f>PERNEM!J36</f>
        <v>13691.247072511704</v>
      </c>
      <c r="L295" s="136">
        <f>PERNEM!K36</f>
        <v>7734.22626304701</v>
      </c>
      <c r="M295" s="136">
        <f>PERNEM!L36</f>
        <v>11812.27283810816</v>
      </c>
      <c r="N295" s="136">
        <f>PERNEM!M36</f>
        <v>17437.164665778713</v>
      </c>
      <c r="O295" s="136">
        <f>PERNEM!N36</f>
        <v>232</v>
      </c>
      <c r="P295" s="136">
        <f>PERNEM!O36</f>
        <v>1437</v>
      </c>
      <c r="Q295" s="136">
        <f>PERNEM!P36</f>
        <v>2969</v>
      </c>
      <c r="R295" s="136">
        <f>PERNEM!R36</f>
        <v>91190.86368958247</v>
      </c>
      <c r="T295" s="81">
        <v>15659.7660615633</v>
      </c>
      <c r="U295" s="81">
        <v>19825.2499476945</v>
      </c>
      <c r="V295" s="81">
        <v>35485.0160092579</v>
      </c>
      <c r="W295" s="81">
        <v>3175.46250817211</v>
      </c>
      <c r="X295" s="81">
        <v>58748.4762569811</v>
      </c>
      <c r="Y295" s="81">
        <v>97407.954774411</v>
      </c>
    </row>
    <row r="296" spans="1:25" ht="18.75">
      <c r="A296" s="138"/>
      <c r="B296" s="138"/>
      <c r="C296" s="138"/>
      <c r="D296" s="141"/>
      <c r="E296" s="138"/>
      <c r="F296" s="138"/>
      <c r="G296" s="138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T296" s="67"/>
      <c r="U296" s="67"/>
      <c r="V296" s="67"/>
      <c r="W296" s="67"/>
      <c r="X296" s="67"/>
      <c r="Y296" s="67"/>
    </row>
    <row r="297" spans="1:25" ht="18.75">
      <c r="A297" s="136">
        <v>29</v>
      </c>
      <c r="B297" s="138"/>
      <c r="C297" s="143" t="s">
        <v>17</v>
      </c>
      <c r="D297" s="144"/>
      <c r="E297" s="145">
        <f aca="true" t="shared" si="13" ref="E297:R297">E270+E287+E289+E292+E295</f>
        <v>24155.101511294713</v>
      </c>
      <c r="F297" s="145">
        <f t="shared" si="13"/>
        <v>58086.97345150547</v>
      </c>
      <c r="G297" s="145">
        <f t="shared" si="13"/>
        <v>82242.0749628002</v>
      </c>
      <c r="H297" s="145">
        <f t="shared" si="13"/>
        <v>7031.233653651627</v>
      </c>
      <c r="I297" s="145">
        <f t="shared" si="13"/>
        <v>6585.742307848705</v>
      </c>
      <c r="J297" s="145">
        <f t="shared" si="13"/>
        <v>95859.05092430052</v>
      </c>
      <c r="K297" s="145">
        <f t="shared" si="13"/>
        <v>473659.3032049529</v>
      </c>
      <c r="L297" s="145">
        <f t="shared" si="13"/>
        <v>127754.75269275624</v>
      </c>
      <c r="M297" s="145">
        <f t="shared" si="13"/>
        <v>193299.73138530046</v>
      </c>
      <c r="N297" s="145">
        <f t="shared" si="13"/>
        <v>288208.4606163959</v>
      </c>
      <c r="O297" s="145">
        <f t="shared" si="13"/>
        <v>1633.8983333333333</v>
      </c>
      <c r="P297" s="145">
        <f t="shared" si="13"/>
        <v>10068.666666666666</v>
      </c>
      <c r="Q297" s="145">
        <f t="shared" si="13"/>
        <v>20685</v>
      </c>
      <c r="R297" s="145">
        <f t="shared" si="13"/>
        <v>1211168.8638237063</v>
      </c>
      <c r="T297" s="71">
        <v>67945.4144289609</v>
      </c>
      <c r="U297" s="71">
        <v>79285.1705441248</v>
      </c>
      <c r="V297" s="71">
        <v>147229.584973086</v>
      </c>
      <c r="W297" s="71">
        <v>143325.270291782</v>
      </c>
      <c r="X297" s="71">
        <v>1267666.76794721</v>
      </c>
      <c r="Y297" s="71">
        <v>1558221.62321208</v>
      </c>
    </row>
    <row r="298" spans="1:25" ht="18.75">
      <c r="A298" s="138"/>
      <c r="B298" s="138"/>
      <c r="C298" s="138"/>
      <c r="D298" s="141"/>
      <c r="E298" s="138"/>
      <c r="F298" s="138"/>
      <c r="G298" s="138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T298" s="67"/>
      <c r="U298" s="67"/>
      <c r="V298" s="67"/>
      <c r="W298" s="67"/>
      <c r="X298" s="67"/>
      <c r="Y298" s="67"/>
    </row>
    <row r="299" spans="1:25" ht="18.75">
      <c r="A299" s="138"/>
      <c r="B299" s="138"/>
      <c r="C299" s="143" t="s">
        <v>462</v>
      </c>
      <c r="D299" s="141"/>
      <c r="E299" s="138"/>
      <c r="F299" s="138"/>
      <c r="G299" s="138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T299" s="67"/>
      <c r="U299" s="67"/>
      <c r="V299" s="67"/>
      <c r="W299" s="67"/>
      <c r="X299" s="67"/>
      <c r="Y299" s="67"/>
    </row>
    <row r="300" spans="1:25" ht="18.75">
      <c r="A300" s="138"/>
      <c r="B300" s="138"/>
      <c r="C300" s="138" t="s">
        <v>41</v>
      </c>
      <c r="D300" s="141"/>
      <c r="E300" s="138"/>
      <c r="F300" s="138"/>
      <c r="G300" s="138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T300" s="67"/>
      <c r="U300" s="67"/>
      <c r="V300" s="67"/>
      <c r="W300" s="67"/>
      <c r="X300" s="67"/>
      <c r="Y300" s="67"/>
    </row>
    <row r="301" spans="1:25" ht="18.75">
      <c r="A301" s="138"/>
      <c r="B301" s="138">
        <v>1</v>
      </c>
      <c r="C301" s="138" t="s">
        <v>115</v>
      </c>
      <c r="D301" s="137" t="s">
        <v>508</v>
      </c>
      <c r="E301" s="136">
        <f>'TISWADI '!D93</f>
        <v>526.6210622849617</v>
      </c>
      <c r="F301" s="136">
        <f>'TISWADI '!E93</f>
        <v>599.9815382322305</v>
      </c>
      <c r="G301" s="136">
        <f>'TISWADI '!F93</f>
        <v>1126.602600517192</v>
      </c>
      <c r="H301" s="136">
        <f>'TISWADI '!G93</f>
        <v>72.62575638770508</v>
      </c>
      <c r="I301" s="136">
        <f>'TISWADI '!H93</f>
        <v>68.02426715454457</v>
      </c>
      <c r="J301" s="136">
        <f>'TISWADI '!I93</f>
        <v>1267.2526240594416</v>
      </c>
      <c r="K301" s="136">
        <f>'TISWADI '!J93</f>
        <v>7979.673161718698</v>
      </c>
      <c r="L301" s="136">
        <f>'TISWADI '!K93</f>
        <v>2871.2732843119256</v>
      </c>
      <c r="M301" s="136">
        <f>'TISWADI '!L93</f>
        <v>4385.2173796763955</v>
      </c>
      <c r="N301" s="136">
        <f>'TISWADI '!M93</f>
        <v>6473.416131903251</v>
      </c>
      <c r="O301" s="136">
        <f>'TISWADI '!N93</f>
        <v>44.84</v>
      </c>
      <c r="P301" s="136">
        <f>'TISWADI '!O93</f>
        <v>277.14</v>
      </c>
      <c r="Q301" s="136">
        <f>'TISWADI '!P93</f>
        <v>572.6785714285714</v>
      </c>
      <c r="R301" s="136">
        <f>'TISWADI '!S93</f>
        <v>23871.491153098283</v>
      </c>
      <c r="T301" s="66">
        <v>479.294001946781</v>
      </c>
      <c r="U301" s="66">
        <v>674.058498221615</v>
      </c>
      <c r="V301" s="66">
        <v>1153.3525001684</v>
      </c>
      <c r="W301" s="66">
        <v>1850.75565566113</v>
      </c>
      <c r="X301" s="66">
        <v>21809.6391910303</v>
      </c>
      <c r="Y301" s="66">
        <v>24813.7473468598</v>
      </c>
    </row>
    <row r="302" spans="1:25" ht="18.75">
      <c r="A302" s="138"/>
      <c r="B302" s="138">
        <v>2</v>
      </c>
      <c r="C302" s="138" t="s">
        <v>116</v>
      </c>
      <c r="D302" s="137" t="s">
        <v>507</v>
      </c>
      <c r="E302" s="136">
        <f>'TISWADI '!D94</f>
        <v>0</v>
      </c>
      <c r="F302" s="136">
        <f>'TISWADI '!E94</f>
        <v>0</v>
      </c>
      <c r="G302" s="136">
        <f>'TISWADI '!F94</f>
        <v>0</v>
      </c>
      <c r="H302" s="136">
        <f>'TISWADI '!G94</f>
        <v>0</v>
      </c>
      <c r="I302" s="136">
        <f>'TISWADI '!H94</f>
        <v>0</v>
      </c>
      <c r="J302" s="136">
        <f>'TISWADI '!I94</f>
        <v>0</v>
      </c>
      <c r="K302" s="136">
        <f>'TISWADI '!J94</f>
        <v>53180.54905829399</v>
      </c>
      <c r="L302" s="136">
        <f>'TISWADI '!K94</f>
        <v>27279.609773535412</v>
      </c>
      <c r="M302" s="136">
        <f>'TISWADI '!L94</f>
        <v>41663.40401776317</v>
      </c>
      <c r="N302" s="136">
        <f>'TISWADI '!M94</f>
        <v>61503.120216698015</v>
      </c>
      <c r="O302" s="136">
        <f>'TISWADI '!N94</f>
        <v>44.84</v>
      </c>
      <c r="P302" s="136">
        <f>'TISWADI '!O94</f>
        <v>277.14</v>
      </c>
      <c r="Q302" s="136">
        <f>'TISWADI '!P94</f>
        <v>572.6785714285714</v>
      </c>
      <c r="R302" s="136">
        <f>'TISWADI '!S94</f>
        <v>184521.3416377192</v>
      </c>
      <c r="T302" s="66">
        <v>0</v>
      </c>
      <c r="U302" s="66">
        <v>0</v>
      </c>
      <c r="V302" s="66">
        <v>0</v>
      </c>
      <c r="W302" s="66">
        <v>12334.3650731182</v>
      </c>
      <c r="X302" s="66">
        <v>207210.664928221</v>
      </c>
      <c r="Y302" s="66">
        <v>219545.030001339</v>
      </c>
    </row>
    <row r="303" spans="1:25" ht="18.75">
      <c r="A303" s="138"/>
      <c r="B303" s="138">
        <v>3</v>
      </c>
      <c r="C303" s="138" t="s">
        <v>117</v>
      </c>
      <c r="D303" s="137" t="s">
        <v>508</v>
      </c>
      <c r="E303" s="136">
        <f>'TISWADI '!D95</f>
        <v>0</v>
      </c>
      <c r="F303" s="136">
        <f>'TISWADI '!E95</f>
        <v>1543.0897731658981</v>
      </c>
      <c r="G303" s="136">
        <f>'TISWADI '!F95</f>
        <v>1543.0897731658981</v>
      </c>
      <c r="H303" s="136">
        <f>'TISWADI '!G95</f>
        <v>186.78585057883603</v>
      </c>
      <c r="I303" s="136">
        <f>'TISWADI '!H95</f>
        <v>174.9513014726357</v>
      </c>
      <c r="J303" s="136">
        <f>'TISWADI '!I95</f>
        <v>1904.82692521737</v>
      </c>
      <c r="K303" s="136">
        <f>'TISWADI '!J95</f>
        <v>1600.540504298552</v>
      </c>
      <c r="L303" s="136">
        <f>'TISWADI '!K95</f>
        <v>4953.2847809766145</v>
      </c>
      <c r="M303" s="136">
        <f>'TISWADI '!L95</f>
        <v>7565.016756400648</v>
      </c>
      <c r="N303" s="136">
        <f>'TISWADI '!M95</f>
        <v>11167.405688020002</v>
      </c>
      <c r="O303" s="136">
        <f>'TISWADI '!N95</f>
        <v>44.84</v>
      </c>
      <c r="P303" s="136">
        <f>'TISWADI '!O95</f>
        <v>277.14</v>
      </c>
      <c r="Q303" s="136">
        <f>'TISWADI '!P95</f>
        <v>572.6785714285714</v>
      </c>
      <c r="R303" s="136">
        <f>'TISWADI '!S95</f>
        <v>28085.73322634176</v>
      </c>
      <c r="T303" s="66">
        <v>0</v>
      </c>
      <c r="U303" s="66">
        <v>1733.6079676484</v>
      </c>
      <c r="V303" s="66">
        <v>1733.6079676484</v>
      </c>
      <c r="W303" s="66">
        <v>371.21938836493</v>
      </c>
      <c r="X303" s="66">
        <v>37624.1977640278</v>
      </c>
      <c r="Y303" s="66">
        <v>39729.0251200411</v>
      </c>
    </row>
    <row r="304" spans="1:25" ht="18.75">
      <c r="A304" s="138">
        <v>3</v>
      </c>
      <c r="B304" s="138"/>
      <c r="C304" s="138" t="s">
        <v>78</v>
      </c>
      <c r="D304" s="137"/>
      <c r="E304" s="136">
        <f>'TISWADI '!D96</f>
        <v>526.6210622849617</v>
      </c>
      <c r="F304" s="136">
        <f>'TISWADI '!E96</f>
        <v>2143.0713113981287</v>
      </c>
      <c r="G304" s="136">
        <f>'TISWADI '!F96</f>
        <v>2669.6923736830904</v>
      </c>
      <c r="H304" s="136">
        <f>'TISWADI '!G96</f>
        <v>259.4116069665411</v>
      </c>
      <c r="I304" s="136">
        <f>'TISWADI '!H96</f>
        <v>242.97556862718028</v>
      </c>
      <c r="J304" s="136">
        <f>'TISWADI '!I96</f>
        <v>3172.0795492768116</v>
      </c>
      <c r="K304" s="136">
        <f>'TISWADI '!J96</f>
        <v>62760.76272431124</v>
      </c>
      <c r="L304" s="136">
        <f>'TISWADI '!K96</f>
        <v>35104.16783882395</v>
      </c>
      <c r="M304" s="136">
        <f>'TISWADI '!L96</f>
        <v>53613.63815384021</v>
      </c>
      <c r="N304" s="136">
        <f>'TISWADI '!M96</f>
        <v>79143.94203662127</v>
      </c>
      <c r="O304" s="136">
        <f>'TISWADI '!N96</f>
        <v>134.52</v>
      </c>
      <c r="P304" s="136">
        <f>'TISWADI '!O96</f>
        <v>831.42</v>
      </c>
      <c r="Q304" s="136">
        <f>'TISWADI '!P96</f>
        <v>1718.0357142857142</v>
      </c>
      <c r="R304" s="136">
        <f>'TISWADI '!S96</f>
        <v>236478.56601715923</v>
      </c>
      <c r="T304" s="66">
        <v>479.294001946781</v>
      </c>
      <c r="U304" s="66">
        <v>2407.66646587001</v>
      </c>
      <c r="V304" s="66">
        <v>2886.96046781679</v>
      </c>
      <c r="W304" s="66">
        <v>14556.3401171442</v>
      </c>
      <c r="X304" s="66">
        <v>266644.501883279</v>
      </c>
      <c r="Y304" s="66">
        <v>284087.80246824</v>
      </c>
    </row>
    <row r="305" spans="1:25" ht="18.75">
      <c r="A305" s="138"/>
      <c r="B305" s="138"/>
      <c r="C305" s="138"/>
      <c r="D305" s="141"/>
      <c r="E305" s="138"/>
      <c r="F305" s="138"/>
      <c r="G305" s="138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T305" s="67"/>
      <c r="U305" s="67"/>
      <c r="V305" s="67"/>
      <c r="W305" s="67"/>
      <c r="X305" s="67"/>
      <c r="Y305" s="67"/>
    </row>
    <row r="306" spans="1:25" ht="18.75">
      <c r="A306" s="138"/>
      <c r="B306" s="138"/>
      <c r="C306" s="138" t="s">
        <v>42</v>
      </c>
      <c r="D306" s="141"/>
      <c r="E306" s="138"/>
      <c r="F306" s="138"/>
      <c r="G306" s="138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T306" s="67"/>
      <c r="U306" s="67"/>
      <c r="V306" s="67"/>
      <c r="W306" s="67"/>
      <c r="X306" s="67"/>
      <c r="Y306" s="67"/>
    </row>
    <row r="307" spans="1:25" ht="18.75">
      <c r="A307" s="138"/>
      <c r="B307" s="138">
        <v>4</v>
      </c>
      <c r="C307" s="138" t="s">
        <v>266</v>
      </c>
      <c r="D307" s="137" t="s">
        <v>507</v>
      </c>
      <c r="E307" s="136">
        <f>BARDEZ!D93</f>
        <v>0</v>
      </c>
      <c r="F307" s="136">
        <f>BARDEZ!E93</f>
        <v>1637.2045242611553</v>
      </c>
      <c r="G307" s="136">
        <f>BARDEZ!F93</f>
        <v>1637.2045242611553</v>
      </c>
      <c r="H307" s="136">
        <f>BARDEZ!G93</f>
        <v>198.17812609063355</v>
      </c>
      <c r="I307" s="136">
        <f>BARDEZ!H93</f>
        <v>185.6217747517805</v>
      </c>
      <c r="J307" s="136">
        <f>BARDEZ!I93</f>
        <v>2021.0044251035692</v>
      </c>
      <c r="K307" s="136">
        <f>BARDEZ!J93</f>
        <v>58385.18436723578</v>
      </c>
      <c r="L307" s="136">
        <f>BARDEZ!K93</f>
        <v>5244.472495870478</v>
      </c>
      <c r="M307" s="136">
        <f>BARDEZ!L93</f>
        <v>8009.739811874912</v>
      </c>
      <c r="N307" s="136">
        <f>BARDEZ!M93</f>
        <v>11823.901627053441</v>
      </c>
      <c r="O307" s="136">
        <f>BARDEZ!N93</f>
        <v>39.2375</v>
      </c>
      <c r="P307" s="136">
        <f>BARDEZ!O93</f>
        <v>243</v>
      </c>
      <c r="Q307" s="136">
        <f>BARDEZ!P93</f>
        <v>495</v>
      </c>
      <c r="R307" s="136">
        <f>BARDEZ!R93</f>
        <v>86261.54022713819</v>
      </c>
      <c r="T307" s="66">
        <v>0</v>
      </c>
      <c r="U307" s="66">
        <v>1839.34263403611</v>
      </c>
      <c r="V307" s="66">
        <v>1839.34263403611</v>
      </c>
      <c r="W307" s="66">
        <v>13541.4957460746</v>
      </c>
      <c r="X307" s="66">
        <v>39836.0035971384</v>
      </c>
      <c r="Y307" s="66">
        <v>55215.8419772491</v>
      </c>
    </row>
    <row r="308" spans="1:25" ht="18.75">
      <c r="A308" s="138"/>
      <c r="B308" s="138">
        <v>5</v>
      </c>
      <c r="C308" s="138" t="s">
        <v>267</v>
      </c>
      <c r="D308" s="137" t="s">
        <v>508</v>
      </c>
      <c r="E308" s="136">
        <f>BARDEZ!D94</f>
        <v>106.78009949451567</v>
      </c>
      <c r="F308" s="136">
        <f>BARDEZ!E94</f>
        <v>1382.3104067115053</v>
      </c>
      <c r="G308" s="136">
        <f>BARDEZ!F94</f>
        <v>1489.090506206021</v>
      </c>
      <c r="H308" s="136">
        <f>BARDEZ!G94</f>
        <v>167.32404657951585</v>
      </c>
      <c r="I308" s="136">
        <f>BARDEZ!H94</f>
        <v>156.72257628743043</v>
      </c>
      <c r="J308" s="136">
        <f>BARDEZ!I94</f>
        <v>1813.1371290729674</v>
      </c>
      <c r="K308" s="136">
        <f>BARDEZ!J94</f>
        <v>6102.780340131144</v>
      </c>
      <c r="L308" s="136">
        <f>BARDEZ!K94</f>
        <v>435.04140671392787</v>
      </c>
      <c r="M308" s="136">
        <f>BARDEZ!L94</f>
        <v>664.4268757085442</v>
      </c>
      <c r="N308" s="136">
        <f>BARDEZ!M94</f>
        <v>980.8206260459464</v>
      </c>
      <c r="O308" s="136">
        <f>BARDEZ!N94</f>
        <v>39.2375</v>
      </c>
      <c r="P308" s="136">
        <f>BARDEZ!O94</f>
        <v>243</v>
      </c>
      <c r="Q308" s="136">
        <f>BARDEZ!P94</f>
        <v>495</v>
      </c>
      <c r="R308" s="136">
        <f>BARDEZ!R94</f>
        <v>10773.44387767253</v>
      </c>
      <c r="T308" s="66">
        <v>118.637129194748</v>
      </c>
      <c r="U308" s="66">
        <v>1552.9779125694</v>
      </c>
      <c r="V308" s="66">
        <v>1671.61504176415</v>
      </c>
      <c r="W308" s="66">
        <v>1415.4408333339</v>
      </c>
      <c r="X308" s="66">
        <v>3304.49078651974</v>
      </c>
      <c r="Y308" s="66">
        <v>6390.54666161779</v>
      </c>
    </row>
    <row r="309" spans="1:25" ht="18.75">
      <c r="A309" s="138"/>
      <c r="B309" s="138">
        <v>6</v>
      </c>
      <c r="C309" s="138" t="s">
        <v>268</v>
      </c>
      <c r="D309" s="137" t="s">
        <v>508</v>
      </c>
      <c r="E309" s="136">
        <f>BARDEZ!D95</f>
        <v>0</v>
      </c>
      <c r="F309" s="136">
        <f>BARDEZ!E95</f>
        <v>1137.2199090676288</v>
      </c>
      <c r="G309" s="136">
        <f>BARDEZ!F95</f>
        <v>1137.2199090676288</v>
      </c>
      <c r="H309" s="136">
        <f>BARDEZ!G95</f>
        <v>137.65666243421254</v>
      </c>
      <c r="I309" s="136">
        <f>BARDEZ!H95</f>
        <v>128.93488545632658</v>
      </c>
      <c r="J309" s="136">
        <f>BARDEZ!I95</f>
        <v>1403.811456958168</v>
      </c>
      <c r="K309" s="136">
        <f>BARDEZ!J95</f>
        <v>6102.780340131144</v>
      </c>
      <c r="L309" s="136">
        <f>BARDEZ!K95</f>
        <v>614.8585214890176</v>
      </c>
      <c r="M309" s="136">
        <f>BARDEZ!L95</f>
        <v>939.0566510014086</v>
      </c>
      <c r="N309" s="136">
        <f>BARDEZ!M95</f>
        <v>1386.2264848116035</v>
      </c>
      <c r="O309" s="136">
        <f>BARDEZ!N95</f>
        <v>39.2375</v>
      </c>
      <c r="P309" s="136">
        <f>BARDEZ!O95</f>
        <v>243</v>
      </c>
      <c r="Q309" s="136">
        <f>BARDEZ!P95</f>
        <v>495</v>
      </c>
      <c r="R309" s="136">
        <f>BARDEZ!R95</f>
        <v>11223.97095439134</v>
      </c>
      <c r="T309" s="66">
        <v>0</v>
      </c>
      <c r="U309" s="66">
        <v>1277.62721885143</v>
      </c>
      <c r="V309" s="66">
        <v>1277.62721885143</v>
      </c>
      <c r="W309" s="66">
        <v>1415.4408333339</v>
      </c>
      <c r="X309" s="66">
        <v>4670.34697828123</v>
      </c>
      <c r="Y309" s="66">
        <v>7363.41503046655</v>
      </c>
    </row>
    <row r="310" spans="1:25" ht="18.75">
      <c r="A310" s="138"/>
      <c r="B310" s="138">
        <v>7</v>
      </c>
      <c r="C310" s="138" t="s">
        <v>269</v>
      </c>
      <c r="D310" s="137" t="s">
        <v>508</v>
      </c>
      <c r="E310" s="136">
        <f>BARDEZ!D96</f>
        <v>0</v>
      </c>
      <c r="F310" s="136">
        <f>BARDEZ!E96</f>
        <v>917.6188231787081</v>
      </c>
      <c r="G310" s="136">
        <f>BARDEZ!F96</f>
        <v>917.6188231787081</v>
      </c>
      <c r="H310" s="136">
        <f>BARDEZ!G96</f>
        <v>111.07468624001986</v>
      </c>
      <c r="I310" s="136">
        <f>BARDEZ!H96</f>
        <v>104.03711447165671</v>
      </c>
      <c r="J310" s="136">
        <f>BARDEZ!I96</f>
        <v>1132.7306238903848</v>
      </c>
      <c r="K310" s="136">
        <f>BARDEZ!J96</f>
        <v>6102.780340131144</v>
      </c>
      <c r="L310" s="136">
        <f>BARDEZ!K96</f>
        <v>435.04140671392787</v>
      </c>
      <c r="M310" s="136">
        <f>BARDEZ!L96</f>
        <v>664.4268757085442</v>
      </c>
      <c r="N310" s="136">
        <f>BARDEZ!M96</f>
        <v>980.8206260459464</v>
      </c>
      <c r="O310" s="136">
        <f>BARDEZ!N96</f>
        <v>39.2375</v>
      </c>
      <c r="P310" s="136">
        <f>BARDEZ!O96</f>
        <v>243</v>
      </c>
      <c r="Q310" s="136">
        <f>BARDEZ!P96</f>
        <v>495</v>
      </c>
      <c r="R310" s="136">
        <f>BARDEZ!R96</f>
        <v>10093.037372489947</v>
      </c>
      <c r="T310" s="66">
        <v>0</v>
      </c>
      <c r="U310" s="66">
        <v>1030.91299728012</v>
      </c>
      <c r="V310" s="66">
        <v>1030.91299728012</v>
      </c>
      <c r="W310" s="66">
        <v>1415.4408333339</v>
      </c>
      <c r="X310" s="66">
        <v>3304.49078651974</v>
      </c>
      <c r="Y310" s="66">
        <v>5749.84461713375</v>
      </c>
    </row>
    <row r="311" spans="1:25" ht="18.75">
      <c r="A311" s="138"/>
      <c r="B311" s="138">
        <v>8</v>
      </c>
      <c r="C311" s="138" t="s">
        <v>270</v>
      </c>
      <c r="D311" s="137" t="s">
        <v>508</v>
      </c>
      <c r="E311" s="136">
        <f>BARDEZ!D97</f>
        <v>0</v>
      </c>
      <c r="F311" s="136">
        <f>BARDEZ!E97</f>
        <v>1052.9087778781284</v>
      </c>
      <c r="G311" s="136">
        <f>BARDEZ!F97</f>
        <v>1052.9087778781284</v>
      </c>
      <c r="H311" s="136">
        <f>BARDEZ!G97</f>
        <v>127.45108228822735</v>
      </c>
      <c r="I311" s="136">
        <f>BARDEZ!H97</f>
        <v>119.37591981042607</v>
      </c>
      <c r="J311" s="136">
        <f>BARDEZ!I97</f>
        <v>1299.7357799767817</v>
      </c>
      <c r="K311" s="136">
        <f>BARDEZ!J97</f>
        <v>6102.780340131144</v>
      </c>
      <c r="L311" s="136">
        <f>BARDEZ!K97</f>
        <v>435.04140671392787</v>
      </c>
      <c r="M311" s="136">
        <f>BARDEZ!L97</f>
        <v>664.4268757085442</v>
      </c>
      <c r="N311" s="136">
        <f>BARDEZ!M97</f>
        <v>980.8206260459464</v>
      </c>
      <c r="O311" s="136">
        <f>BARDEZ!N97</f>
        <v>39.2375</v>
      </c>
      <c r="P311" s="136">
        <f>BARDEZ!O97</f>
        <v>240</v>
      </c>
      <c r="Q311" s="136">
        <f>BARDEZ!P97</f>
        <v>495</v>
      </c>
      <c r="R311" s="136">
        <f>BARDEZ!R97</f>
        <v>10257.042528576343</v>
      </c>
      <c r="T311" s="66">
        <v>0</v>
      </c>
      <c r="U311" s="66">
        <v>1182.90658021244</v>
      </c>
      <c r="V311" s="66">
        <v>1182.90658021244</v>
      </c>
      <c r="W311" s="66">
        <v>1415.4408333339</v>
      </c>
      <c r="X311" s="66">
        <v>3304.49078651974</v>
      </c>
      <c r="Y311" s="66">
        <v>5901.83820006608</v>
      </c>
    </row>
    <row r="312" spans="1:25" ht="18.75">
      <c r="A312" s="138"/>
      <c r="B312" s="138">
        <v>9</v>
      </c>
      <c r="C312" s="138" t="s">
        <v>271</v>
      </c>
      <c r="D312" s="137" t="s">
        <v>508</v>
      </c>
      <c r="E312" s="136">
        <f>BARDEZ!D98</f>
        <v>328.88270644310745</v>
      </c>
      <c r="F312" s="136">
        <f>BARDEZ!E98</f>
        <v>576.4528504584167</v>
      </c>
      <c r="G312" s="136">
        <f>BARDEZ!F98</f>
        <v>905.3355569015241</v>
      </c>
      <c r="H312" s="136">
        <f>BARDEZ!G98</f>
        <v>69.77768750975576</v>
      </c>
      <c r="I312" s="136">
        <f>BARDEZ!H98</f>
        <v>65.35664883475842</v>
      </c>
      <c r="J312" s="136">
        <f>BARDEZ!I98</f>
        <v>1040.4698932460383</v>
      </c>
      <c r="K312" s="136">
        <f>BARDEZ!J98</f>
        <v>15239.678830497358</v>
      </c>
      <c r="L312" s="136">
        <f>BARDEZ!K98</f>
        <v>3291.230457177196</v>
      </c>
      <c r="M312" s="136">
        <f>BARDEZ!L98</f>
        <v>5026.60651641608</v>
      </c>
      <c r="N312" s="136">
        <f>BARDEZ!M98</f>
        <v>7420.228667090405</v>
      </c>
      <c r="O312" s="136">
        <f>BARDEZ!N98</f>
        <v>39.2375</v>
      </c>
      <c r="P312" s="136">
        <f>BARDEZ!O98</f>
        <v>240</v>
      </c>
      <c r="Q312" s="136">
        <f>BARDEZ!P98</f>
        <v>495</v>
      </c>
      <c r="R312" s="136">
        <f>BARDEZ!R98</f>
        <v>32792.45186442707</v>
      </c>
      <c r="T312" s="66">
        <v>365.402357919823</v>
      </c>
      <c r="U312" s="66">
        <v>647.624831624688</v>
      </c>
      <c r="V312" s="66">
        <v>1013.02718954451</v>
      </c>
      <c r="W312" s="66">
        <v>3534.59611871212</v>
      </c>
      <c r="X312" s="66">
        <v>24999.5530407221</v>
      </c>
      <c r="Y312" s="66">
        <v>29548.1763489787</v>
      </c>
    </row>
    <row r="313" spans="1:25" ht="18.75">
      <c r="A313" s="138"/>
      <c r="B313" s="138">
        <v>10</v>
      </c>
      <c r="C313" s="138" t="s">
        <v>272</v>
      </c>
      <c r="D313" s="137" t="s">
        <v>508</v>
      </c>
      <c r="E313" s="136">
        <f>BARDEZ!D99</f>
        <v>149.49213929232178</v>
      </c>
      <c r="F313" s="136">
        <f>BARDEZ!E99</f>
        <v>984.2834385378443</v>
      </c>
      <c r="G313" s="136">
        <f>BARDEZ!F99</f>
        <v>1133.7755778301662</v>
      </c>
      <c r="H313" s="136">
        <f>BARDEZ!G99</f>
        <v>119.14421472754256</v>
      </c>
      <c r="I313" s="136">
        <f>BARDEZ!H99</f>
        <v>111.59536637771714</v>
      </c>
      <c r="J313" s="136">
        <f>BARDEZ!I99</f>
        <v>1364.515158935426</v>
      </c>
      <c r="K313" s="136">
        <f>BARDEZ!J99</f>
        <v>6102.780340131144</v>
      </c>
      <c r="L313" s="136">
        <f>BARDEZ!K99</f>
        <v>435.04140671392787</v>
      </c>
      <c r="M313" s="136">
        <f>BARDEZ!L99</f>
        <v>664.4268757085442</v>
      </c>
      <c r="N313" s="136">
        <f>BARDEZ!M99</f>
        <v>980.8206260459464</v>
      </c>
      <c r="O313" s="136">
        <f>BARDEZ!N99</f>
        <v>39.2375</v>
      </c>
      <c r="P313" s="136">
        <f>BARDEZ!O99</f>
        <v>240</v>
      </c>
      <c r="Q313" s="136">
        <f>BARDEZ!P99</f>
        <v>495</v>
      </c>
      <c r="R313" s="136">
        <f>BARDEZ!R99</f>
        <v>10321.821907534988</v>
      </c>
      <c r="T313" s="66">
        <v>166.091980872647</v>
      </c>
      <c r="U313" s="66">
        <v>1105.80838597141</v>
      </c>
      <c r="V313" s="66">
        <v>1271.90036684405</v>
      </c>
      <c r="W313" s="66">
        <v>1415.4408333339</v>
      </c>
      <c r="X313" s="66">
        <v>3304.49078651974</v>
      </c>
      <c r="Y313" s="66">
        <v>5990.83198669769</v>
      </c>
    </row>
    <row r="314" spans="1:25" ht="18.75">
      <c r="A314" s="138"/>
      <c r="B314" s="138">
        <v>11</v>
      </c>
      <c r="C314" s="138" t="s">
        <v>273</v>
      </c>
      <c r="D314" s="137" t="s">
        <v>507</v>
      </c>
      <c r="E314" s="136">
        <f>BARDEZ!D100</f>
        <v>0</v>
      </c>
      <c r="F314" s="136">
        <f>BARDEZ!E100</f>
        <v>0</v>
      </c>
      <c r="G314" s="136">
        <f>BARDEZ!F100</f>
        <v>0</v>
      </c>
      <c r="H314" s="136">
        <f>BARDEZ!G100</f>
        <v>0</v>
      </c>
      <c r="I314" s="136">
        <f>BARDEZ!H100</f>
        <v>0</v>
      </c>
      <c r="J314" s="136">
        <f>BARDEZ!I100</f>
        <v>0</v>
      </c>
      <c r="K314" s="136">
        <f>BARDEZ!J100</f>
        <v>0</v>
      </c>
      <c r="L314" s="136">
        <f>BARDEZ!K100</f>
        <v>185.23376180786937</v>
      </c>
      <c r="M314" s="136">
        <f>BARDEZ!L100</f>
        <v>282.9024725792914</v>
      </c>
      <c r="N314" s="136">
        <f>BARDEZ!M100</f>
        <v>417.6179357122873</v>
      </c>
      <c r="O314" s="136">
        <f>BARDEZ!N100</f>
        <v>39.2375</v>
      </c>
      <c r="P314" s="136">
        <f>BARDEZ!O100</f>
        <v>243</v>
      </c>
      <c r="Q314" s="136">
        <f>BARDEZ!P100</f>
        <v>495</v>
      </c>
      <c r="R314" s="136">
        <f>BARDEZ!R100</f>
        <v>1662.9916700994481</v>
      </c>
      <c r="T314" s="66">
        <v>0</v>
      </c>
      <c r="U314" s="66">
        <v>0</v>
      </c>
      <c r="V314" s="66">
        <v>0</v>
      </c>
      <c r="W314" s="66">
        <v>0</v>
      </c>
      <c r="X314" s="66">
        <v>1407</v>
      </c>
      <c r="Y314" s="66">
        <v>1407</v>
      </c>
    </row>
    <row r="315" spans="1:25" ht="18.75">
      <c r="A315" s="138"/>
      <c r="B315" s="138">
        <v>12</v>
      </c>
      <c r="C315" s="138" t="s">
        <v>274</v>
      </c>
      <c r="D315" s="137" t="s">
        <v>508</v>
      </c>
      <c r="E315" s="136">
        <f>BARDEZ!D101</f>
        <v>0</v>
      </c>
      <c r="F315" s="136">
        <f>BARDEZ!E101</f>
        <v>1082.3196375953967</v>
      </c>
      <c r="G315" s="136">
        <f>BARDEZ!F101</f>
        <v>1082.3196375953967</v>
      </c>
      <c r="H315" s="136">
        <f>BARDEZ!G101</f>
        <v>131.01116838566412</v>
      </c>
      <c r="I315" s="136">
        <f>BARDEZ!H101</f>
        <v>122.7104427101589</v>
      </c>
      <c r="J315" s="136">
        <f>BARDEZ!I101</f>
        <v>1336.0412486912196</v>
      </c>
      <c r="K315" s="136">
        <f>BARDEZ!J101</f>
        <v>6102.780340131144</v>
      </c>
      <c r="L315" s="136">
        <f>BARDEZ!K101</f>
        <v>435.04140671392787</v>
      </c>
      <c r="M315" s="136">
        <f>BARDEZ!L101</f>
        <v>664.4268757085442</v>
      </c>
      <c r="N315" s="136">
        <f>BARDEZ!M101</f>
        <v>980.8206260459464</v>
      </c>
      <c r="O315" s="136">
        <f>BARDEZ!N101</f>
        <v>39.2375</v>
      </c>
      <c r="P315" s="136">
        <f>BARDEZ!O101</f>
        <v>243</v>
      </c>
      <c r="Q315" s="136">
        <f>BARDEZ!P101</f>
        <v>495</v>
      </c>
      <c r="R315" s="136">
        <f>BARDEZ!R101</f>
        <v>10296.347997290783</v>
      </c>
      <c r="T315" s="66">
        <v>0</v>
      </c>
      <c r="U315" s="66">
        <v>1215.9486634586</v>
      </c>
      <c r="V315" s="66">
        <v>1215.9486634586</v>
      </c>
      <c r="W315" s="66">
        <v>1415.4408333339</v>
      </c>
      <c r="X315" s="66">
        <v>3304.49078651974</v>
      </c>
      <c r="Y315" s="66">
        <v>5934.88028331224</v>
      </c>
    </row>
    <row r="316" spans="1:25" ht="18.75">
      <c r="A316" s="138">
        <v>9</v>
      </c>
      <c r="B316" s="138"/>
      <c r="C316" s="138" t="s">
        <v>78</v>
      </c>
      <c r="D316" s="137"/>
      <c r="E316" s="136">
        <f>BARDEZ!D102</f>
        <v>585.1549452299449</v>
      </c>
      <c r="F316" s="136">
        <f>BARDEZ!E102</f>
        <v>8770.318367688784</v>
      </c>
      <c r="G316" s="136">
        <f>BARDEZ!F102</f>
        <v>9355.473312918728</v>
      </c>
      <c r="H316" s="136">
        <f>BARDEZ!G102</f>
        <v>1061.6176742555717</v>
      </c>
      <c r="I316" s="136">
        <f>BARDEZ!H102</f>
        <v>994.3547287002548</v>
      </c>
      <c r="J316" s="136">
        <f>BARDEZ!I102</f>
        <v>11411.445715874554</v>
      </c>
      <c r="K316" s="136">
        <f>BARDEZ!J102</f>
        <v>110241.54523852</v>
      </c>
      <c r="L316" s="136">
        <f>BARDEZ!K102</f>
        <v>11511.002269914201</v>
      </c>
      <c r="M316" s="136">
        <f>BARDEZ!L102</f>
        <v>17580.439830414416</v>
      </c>
      <c r="N316" s="136">
        <f>BARDEZ!M102</f>
        <v>25952.077844897467</v>
      </c>
      <c r="O316" s="136">
        <f>BARDEZ!N102</f>
        <v>353.13750000000005</v>
      </c>
      <c r="P316" s="136">
        <f>BARDEZ!O102</f>
        <v>2178</v>
      </c>
      <c r="Q316" s="136">
        <f>BARDEZ!P102</f>
        <v>4455</v>
      </c>
      <c r="R316" s="136">
        <f>BARDEZ!R102</f>
        <v>183682.64839962064</v>
      </c>
      <c r="T316" s="66">
        <v>650.131467987217</v>
      </c>
      <c r="U316" s="66">
        <v>9854.14922400418</v>
      </c>
      <c r="V316" s="66">
        <v>10504.2806919914</v>
      </c>
      <c r="W316" s="66">
        <v>25565.7368647901</v>
      </c>
      <c r="X316" s="66">
        <v>87433.3575487404</v>
      </c>
      <c r="Y316" s="66">
        <v>123503.375105522</v>
      </c>
    </row>
    <row r="317" spans="1:25" ht="18.75">
      <c r="A317" s="138"/>
      <c r="B317" s="138"/>
      <c r="C317" s="138"/>
      <c r="D317" s="141"/>
      <c r="E317" s="138"/>
      <c r="F317" s="138"/>
      <c r="G317" s="138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T317" s="67"/>
      <c r="U317" s="67"/>
      <c r="V317" s="67"/>
      <c r="W317" s="67"/>
      <c r="X317" s="67"/>
      <c r="Y317" s="67"/>
    </row>
    <row r="318" spans="1:25" ht="18.75">
      <c r="A318" s="145">
        <v>13</v>
      </c>
      <c r="B318" s="138"/>
      <c r="C318" s="143" t="s">
        <v>17</v>
      </c>
      <c r="D318" s="144"/>
      <c r="E318" s="145">
        <f aca="true" t="shared" si="14" ref="E318:R318">E304+E316</f>
        <v>1111.7760075149067</v>
      </c>
      <c r="F318" s="145">
        <f t="shared" si="14"/>
        <v>10913.389679086913</v>
      </c>
      <c r="G318" s="145">
        <f t="shared" si="14"/>
        <v>12025.165686601818</v>
      </c>
      <c r="H318" s="145">
        <f t="shared" si="14"/>
        <v>1321.0292812221128</v>
      </c>
      <c r="I318" s="145">
        <f t="shared" si="14"/>
        <v>1237.3302973274351</v>
      </c>
      <c r="J318" s="145">
        <f t="shared" si="14"/>
        <v>14583.525265151366</v>
      </c>
      <c r="K318" s="145">
        <f t="shared" si="14"/>
        <v>173002.30796283123</v>
      </c>
      <c r="L318" s="145">
        <f t="shared" si="14"/>
        <v>46615.17010873815</v>
      </c>
      <c r="M318" s="145">
        <f t="shared" si="14"/>
        <v>71194.07798425463</v>
      </c>
      <c r="N318" s="145">
        <f t="shared" si="14"/>
        <v>105096.01988151873</v>
      </c>
      <c r="O318" s="145">
        <f t="shared" si="14"/>
        <v>487.6575</v>
      </c>
      <c r="P318" s="145">
        <f t="shared" si="14"/>
        <v>3009.42</v>
      </c>
      <c r="Q318" s="145">
        <f t="shared" si="14"/>
        <v>6173.035714285714</v>
      </c>
      <c r="R318" s="145">
        <f t="shared" si="14"/>
        <v>420161.21441677987</v>
      </c>
      <c r="T318" s="71">
        <v>22906.4569049218</v>
      </c>
      <c r="U318" s="71">
        <v>15795.1157916633</v>
      </c>
      <c r="V318" s="71">
        <v>38700.5726965852</v>
      </c>
      <c r="W318" s="71">
        <v>54369.957823135</v>
      </c>
      <c r="X318" s="71">
        <v>474577.756880166</v>
      </c>
      <c r="Y318" s="71">
        <v>567649.287399886</v>
      </c>
    </row>
    <row r="319" spans="1:25" ht="18.75">
      <c r="A319" s="138"/>
      <c r="B319" s="138"/>
      <c r="C319" s="138"/>
      <c r="D319" s="141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T319" s="67"/>
      <c r="U319" s="67"/>
      <c r="V319" s="67"/>
      <c r="W319" s="67"/>
      <c r="X319" s="67"/>
      <c r="Y319" s="67"/>
    </row>
    <row r="320" spans="1:25" ht="18.75">
      <c r="A320" s="138"/>
      <c r="B320" s="138"/>
      <c r="C320" s="143" t="s">
        <v>463</v>
      </c>
      <c r="D320" s="141"/>
      <c r="E320" s="138"/>
      <c r="F320" s="138"/>
      <c r="G320" s="138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T320" s="67"/>
      <c r="U320" s="67"/>
      <c r="V320" s="67"/>
      <c r="W320" s="67"/>
      <c r="X320" s="67"/>
      <c r="Y320" s="67"/>
    </row>
    <row r="321" spans="1:25" ht="18.75">
      <c r="A321" s="138"/>
      <c r="B321" s="138"/>
      <c r="C321" s="138" t="s">
        <v>41</v>
      </c>
      <c r="D321" s="141"/>
      <c r="E321" s="138"/>
      <c r="F321" s="138"/>
      <c r="G321" s="138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T321" s="67"/>
      <c r="U321" s="67"/>
      <c r="V321" s="67"/>
      <c r="W321" s="67"/>
      <c r="X321" s="67"/>
      <c r="Y321" s="67"/>
    </row>
    <row r="322" spans="1:25" ht="18.75">
      <c r="A322" s="138">
        <v>1</v>
      </c>
      <c r="B322" s="138">
        <v>1</v>
      </c>
      <c r="C322" s="138" t="s">
        <v>71</v>
      </c>
      <c r="D322" s="137" t="s">
        <v>507</v>
      </c>
      <c r="E322" s="136">
        <f>'TISWADI '!D105</f>
        <v>0</v>
      </c>
      <c r="F322" s="136">
        <f>'TISWADI '!E105</f>
        <v>0</v>
      </c>
      <c r="G322" s="136">
        <f>'TISWADI '!F105</f>
        <v>0</v>
      </c>
      <c r="H322" s="136">
        <f>'TISWADI '!G105</f>
        <v>0</v>
      </c>
      <c r="I322" s="136">
        <f>'TISWADI '!H105</f>
        <v>0</v>
      </c>
      <c r="J322" s="136">
        <f>'TISWADI '!I105</f>
        <v>0</v>
      </c>
      <c r="K322" s="136">
        <f>'TISWADI '!J105</f>
        <v>53180.54905829399</v>
      </c>
      <c r="L322" s="136">
        <f>'TISWADI '!K105</f>
        <v>14357.913235450196</v>
      </c>
      <c r="M322" s="136">
        <f>'TISWADI '!L105</f>
        <v>21928.449305051206</v>
      </c>
      <c r="N322" s="136">
        <f>'TISWADI '!M105</f>
        <v>32370.56802174226</v>
      </c>
      <c r="O322" s="136">
        <f>'TISWADI '!N105</f>
        <v>44.84</v>
      </c>
      <c r="P322" s="136">
        <f>'TISWADI '!O105</f>
        <v>277.14</v>
      </c>
      <c r="Q322" s="136">
        <f>'TISWADI '!P105</f>
        <v>572.6785714285714</v>
      </c>
      <c r="R322" s="136">
        <f>'TISWADI '!S105</f>
        <v>122732.13819196622</v>
      </c>
      <c r="T322" s="66">
        <v>0</v>
      </c>
      <c r="U322" s="66">
        <v>0</v>
      </c>
      <c r="V322" s="66">
        <v>0</v>
      </c>
      <c r="W322" s="66">
        <v>12334.3650731182</v>
      </c>
      <c r="X322" s="66">
        <v>109059.945255726</v>
      </c>
      <c r="Y322" s="66">
        <v>121394.310328844</v>
      </c>
    </row>
    <row r="323" spans="1:25" ht="18.75">
      <c r="A323" s="138"/>
      <c r="B323" s="138"/>
      <c r="C323" s="138"/>
      <c r="D323" s="141"/>
      <c r="E323" s="138"/>
      <c r="F323" s="138"/>
      <c r="G323" s="138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T323" s="67"/>
      <c r="U323" s="67"/>
      <c r="V323" s="67"/>
      <c r="W323" s="67"/>
      <c r="X323" s="67"/>
      <c r="Y323" s="67"/>
    </row>
    <row r="324" spans="1:25" ht="18.75">
      <c r="A324" s="138"/>
      <c r="B324" s="138"/>
      <c r="C324" s="138" t="s">
        <v>42</v>
      </c>
      <c r="D324" s="141"/>
      <c r="E324" s="138"/>
      <c r="F324" s="138"/>
      <c r="G324" s="138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T324" s="67"/>
      <c r="U324" s="67"/>
      <c r="V324" s="67"/>
      <c r="W324" s="67"/>
      <c r="X324" s="67"/>
      <c r="Y324" s="67"/>
    </row>
    <row r="325" spans="1:25" ht="18.75">
      <c r="A325" s="138">
        <v>1</v>
      </c>
      <c r="B325" s="138">
        <v>2</v>
      </c>
      <c r="C325" s="138" t="s">
        <v>275</v>
      </c>
      <c r="D325" s="137" t="s">
        <v>507</v>
      </c>
      <c r="E325" s="136">
        <f>BARDEZ!D105</f>
        <v>0</v>
      </c>
      <c r="F325" s="136">
        <f>BARDEZ!E105</f>
        <v>2456.7871483823023</v>
      </c>
      <c r="G325" s="136">
        <f>BARDEZ!F105</f>
        <v>2456.7871483823023</v>
      </c>
      <c r="H325" s="136">
        <f>BARDEZ!G105</f>
        <v>297.3858586725308</v>
      </c>
      <c r="I325" s="136">
        <f>BARDEZ!H105</f>
        <v>278.5438128909945</v>
      </c>
      <c r="J325" s="136">
        <f>BARDEZ!I105</f>
        <v>3032.7168199458274</v>
      </c>
      <c r="K325" s="136">
        <f>BARDEZ!J105</f>
        <v>44083.951947532216</v>
      </c>
      <c r="L325" s="136">
        <f>BARDEZ!K105</f>
        <v>12926.25078410335</v>
      </c>
      <c r="M325" s="136">
        <f>BARDEZ!L105</f>
        <v>19741.91028844875</v>
      </c>
      <c r="N325" s="136">
        <f>BARDEZ!M105</f>
        <v>29142.819949614826</v>
      </c>
      <c r="O325" s="136">
        <f>BARDEZ!N105</f>
        <v>39.2375</v>
      </c>
      <c r="P325" s="136">
        <f>BARDEZ!O105</f>
        <v>240</v>
      </c>
      <c r="Q325" s="136">
        <f>BARDEZ!P105</f>
        <v>501.09375</v>
      </c>
      <c r="R325" s="136">
        <f>BARDEZ!R105</f>
        <v>109707.98103964498</v>
      </c>
      <c r="T325" s="66">
        <v>0</v>
      </c>
      <c r="U325" s="66">
        <v>2760.11535382903</v>
      </c>
      <c r="V325" s="66">
        <v>2760.11535382903</v>
      </c>
      <c r="W325" s="66">
        <v>10224.5570385261</v>
      </c>
      <c r="X325" s="66">
        <v>98185.3128486254</v>
      </c>
      <c r="Y325" s="66">
        <v>111169.985240981</v>
      </c>
    </row>
    <row r="326" spans="1:25" ht="18.75">
      <c r="A326" s="138"/>
      <c r="B326" s="138"/>
      <c r="C326" s="138"/>
      <c r="D326" s="141"/>
      <c r="E326" s="138"/>
      <c r="F326" s="138"/>
      <c r="G326" s="138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T326" s="67"/>
      <c r="U326" s="67"/>
      <c r="V326" s="67"/>
      <c r="W326" s="67"/>
      <c r="X326" s="67"/>
      <c r="Y326" s="67"/>
    </row>
    <row r="327" spans="1:25" ht="18.75">
      <c r="A327" s="136">
        <v>3</v>
      </c>
      <c r="B327" s="138"/>
      <c r="C327" s="143" t="s">
        <v>17</v>
      </c>
      <c r="D327" s="144"/>
      <c r="E327" s="145">
        <f aca="true" t="shared" si="15" ref="E327:R327">E322+E325</f>
        <v>0</v>
      </c>
      <c r="F327" s="145">
        <f t="shared" si="15"/>
        <v>2456.7871483823023</v>
      </c>
      <c r="G327" s="145">
        <f t="shared" si="15"/>
        <v>2456.7871483823023</v>
      </c>
      <c r="H327" s="145">
        <f t="shared" si="15"/>
        <v>297.3858586725308</v>
      </c>
      <c r="I327" s="145">
        <f t="shared" si="15"/>
        <v>278.5438128909945</v>
      </c>
      <c r="J327" s="145">
        <f t="shared" si="15"/>
        <v>3032.7168199458274</v>
      </c>
      <c r="K327" s="145">
        <f t="shared" si="15"/>
        <v>97264.5010058262</v>
      </c>
      <c r="L327" s="145">
        <f t="shared" si="15"/>
        <v>27284.164019553544</v>
      </c>
      <c r="M327" s="145">
        <f t="shared" si="15"/>
        <v>41670.35959349996</v>
      </c>
      <c r="N327" s="145">
        <f t="shared" si="15"/>
        <v>61513.387971357086</v>
      </c>
      <c r="O327" s="145">
        <f t="shared" si="15"/>
        <v>84.0775</v>
      </c>
      <c r="P327" s="145">
        <f t="shared" si="15"/>
        <v>517.14</v>
      </c>
      <c r="Q327" s="145">
        <f t="shared" si="15"/>
        <v>1073.7723214285716</v>
      </c>
      <c r="R327" s="145">
        <f t="shared" si="15"/>
        <v>232440.1192316112</v>
      </c>
      <c r="T327" s="71">
        <v>20718.7882425707</v>
      </c>
      <c r="U327" s="71">
        <v>22369.4903576486</v>
      </c>
      <c r="V327" s="71">
        <v>43088.2786002193</v>
      </c>
      <c r="W327" s="71">
        <v>33971.9153215545</v>
      </c>
      <c r="X327" s="71">
        <v>267295.93333956</v>
      </c>
      <c r="Y327" s="71">
        <v>344356.127261333</v>
      </c>
    </row>
    <row r="328" spans="1:25" ht="18.75">
      <c r="A328" s="138"/>
      <c r="B328" s="138"/>
      <c r="C328" s="138"/>
      <c r="D328" s="141"/>
      <c r="E328" s="138"/>
      <c r="F328" s="138"/>
      <c r="G328" s="138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T328" s="67"/>
      <c r="U328" s="67"/>
      <c r="V328" s="67"/>
      <c r="W328" s="67"/>
      <c r="X328" s="67"/>
      <c r="Y328" s="67"/>
    </row>
    <row r="329" spans="1:25" ht="18.75">
      <c r="A329" s="138"/>
      <c r="B329" s="138"/>
      <c r="C329" s="143" t="s">
        <v>464</v>
      </c>
      <c r="D329" s="141"/>
      <c r="E329" s="138"/>
      <c r="F329" s="138"/>
      <c r="G329" s="138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T329" s="67"/>
      <c r="U329" s="67"/>
      <c r="V329" s="67"/>
      <c r="W329" s="67"/>
      <c r="X329" s="67"/>
      <c r="Y329" s="67"/>
    </row>
    <row r="330" spans="1:25" ht="18.75">
      <c r="A330" s="138"/>
      <c r="B330" s="138"/>
      <c r="C330" s="138" t="s">
        <v>41</v>
      </c>
      <c r="D330" s="141"/>
      <c r="E330" s="138"/>
      <c r="F330" s="138"/>
      <c r="G330" s="138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T330" s="67"/>
      <c r="U330" s="67"/>
      <c r="V330" s="67"/>
      <c r="W330" s="67"/>
      <c r="X330" s="67"/>
      <c r="Y330" s="67"/>
    </row>
    <row r="331" spans="1:25" ht="18.75">
      <c r="A331" s="138"/>
      <c r="B331" s="138">
        <v>1</v>
      </c>
      <c r="C331" s="138" t="s">
        <v>122</v>
      </c>
      <c r="D331" s="137" t="s">
        <v>508</v>
      </c>
      <c r="E331" s="136">
        <f>'TISWADI '!D108</f>
        <v>159.82324375652507</v>
      </c>
      <c r="F331" s="136">
        <f>'TISWADI '!E108</f>
        <v>1374.4675107869055</v>
      </c>
      <c r="G331" s="136">
        <f>'TISWADI '!F108</f>
        <v>1534.2907545434305</v>
      </c>
      <c r="H331" s="136">
        <f>'TISWADI '!G108</f>
        <v>166.37469028686664</v>
      </c>
      <c r="I331" s="136">
        <f>'TISWADI '!H108</f>
        <v>155.8333701808356</v>
      </c>
      <c r="J331" s="136">
        <f>'TISWADI '!I108</f>
        <v>1856.4988150111326</v>
      </c>
      <c r="K331" s="136">
        <f>'TISWADI '!J108</f>
        <v>29776.962187885263</v>
      </c>
      <c r="L331" s="136">
        <f>'TISWADI '!K108</f>
        <v>12490.522166097662</v>
      </c>
      <c r="M331" s="136">
        <f>'TISWADI '!L108</f>
        <v>19076.43385367643</v>
      </c>
      <c r="N331" s="136">
        <f>'TISWADI '!M108</f>
        <v>28160.44997447473</v>
      </c>
      <c r="O331" s="136">
        <f>'TISWADI '!N108</f>
        <v>44.84</v>
      </c>
      <c r="P331" s="136">
        <f>'TISWADI '!O108</f>
        <v>274</v>
      </c>
      <c r="Q331" s="136">
        <f>'TISWADI '!P108</f>
        <v>572</v>
      </c>
      <c r="R331" s="136">
        <f>'TISWADI '!S108</f>
        <v>92251.70699714521</v>
      </c>
      <c r="T331" s="66">
        <v>123.382614362538</v>
      </c>
      <c r="U331" s="66">
        <v>1544.16669037043</v>
      </c>
      <c r="V331" s="66">
        <v>1666.54930473297</v>
      </c>
      <c r="W331" s="66">
        <v>6906.28300943675</v>
      </c>
      <c r="X331" s="66">
        <v>94875.6021374112</v>
      </c>
      <c r="Y331" s="66">
        <v>103449.434451581</v>
      </c>
    </row>
    <row r="332" spans="1:25" ht="18.75">
      <c r="A332" s="138"/>
      <c r="B332" s="138">
        <v>2</v>
      </c>
      <c r="C332" s="138" t="s">
        <v>123</v>
      </c>
      <c r="D332" s="137" t="s">
        <v>507</v>
      </c>
      <c r="E332" s="136">
        <f>'TISWADI '!D109</f>
        <v>0</v>
      </c>
      <c r="F332" s="136">
        <f>'TISWADI '!E109</f>
        <v>0</v>
      </c>
      <c r="G332" s="136">
        <f>'TISWADI '!F109</f>
        <v>0</v>
      </c>
      <c r="H332" s="136">
        <f>'TISWADI '!G109</f>
        <v>0</v>
      </c>
      <c r="I332" s="136">
        <f>'TISWADI '!H109</f>
        <v>0</v>
      </c>
      <c r="J332" s="136">
        <f>'TISWADI '!I109</f>
        <v>0</v>
      </c>
      <c r="K332" s="136">
        <f>'TISWADI '!J109</f>
        <v>460587.1954815957</v>
      </c>
      <c r="L332" s="136">
        <f>'TISWADI '!K109</f>
        <v>18036.241235174093</v>
      </c>
      <c r="M332" s="136">
        <f>'TISWADI '!L109</f>
        <v>27300.259340993158</v>
      </c>
      <c r="N332" s="136">
        <f>'TISWADI '!M109</f>
        <v>40663.52569384704</v>
      </c>
      <c r="O332" s="136">
        <f>'TISWADI '!N109</f>
        <v>44.84</v>
      </c>
      <c r="P332" s="136">
        <f>'TISWADI '!O109</f>
        <v>274</v>
      </c>
      <c r="Q332" s="136">
        <f>'TISWADI '!P109</f>
        <v>572</v>
      </c>
      <c r="R332" s="136">
        <f>'TISWADI '!S109</f>
        <v>547478.06175161</v>
      </c>
      <c r="T332" s="66">
        <v>0</v>
      </c>
      <c r="U332" s="66">
        <v>0</v>
      </c>
      <c r="V332" s="66">
        <v>0</v>
      </c>
      <c r="W332" s="66">
        <v>106825.723270483</v>
      </c>
      <c r="X332" s="66">
        <v>136999.816719221</v>
      </c>
      <c r="Y332" s="66">
        <v>243825.539989704</v>
      </c>
    </row>
    <row r="333" spans="1:25" ht="18.75">
      <c r="A333" s="138"/>
      <c r="B333" s="138">
        <v>3</v>
      </c>
      <c r="C333" s="138" t="s">
        <v>124</v>
      </c>
      <c r="D333" s="137" t="s">
        <v>507</v>
      </c>
      <c r="E333" s="136">
        <f>'TISWADI '!D110</f>
        <v>0</v>
      </c>
      <c r="F333" s="136">
        <f>'TISWADI '!E110</f>
        <v>0</v>
      </c>
      <c r="G333" s="136">
        <f>'TISWADI '!F110</f>
        <v>0</v>
      </c>
      <c r="H333" s="136">
        <f>'TISWADI '!G110</f>
        <v>0</v>
      </c>
      <c r="I333" s="136">
        <f>'TISWADI '!H110</f>
        <v>0</v>
      </c>
      <c r="J333" s="136">
        <f>'TISWADI '!I110</f>
        <v>0</v>
      </c>
      <c r="K333" s="136">
        <f>'TISWADI '!J110</f>
        <v>522.8832764606358</v>
      </c>
      <c r="L333" s="136">
        <f>'TISWADI '!K110</f>
        <v>499.5371976489997</v>
      </c>
      <c r="M333" s="136">
        <f>'TISWADI '!L110</f>
        <v>762.9295382275632</v>
      </c>
      <c r="N333" s="136">
        <f>'TISWADI '!M110</f>
        <v>1126.2293183359266</v>
      </c>
      <c r="O333" s="136">
        <f>'TISWADI '!N110</f>
        <v>44.84</v>
      </c>
      <c r="P333" s="136">
        <f>'TISWADI '!O110</f>
        <v>274</v>
      </c>
      <c r="Q333" s="136">
        <f>'TISWADI '!P110</f>
        <v>572</v>
      </c>
      <c r="R333" s="136">
        <f>'TISWADI '!S110</f>
        <v>3802.4193306731254</v>
      </c>
      <c r="T333" s="66">
        <v>0</v>
      </c>
      <c r="U333" s="66">
        <v>0</v>
      </c>
      <c r="V333" s="66">
        <v>0</v>
      </c>
      <c r="W333" s="66">
        <v>121.274288</v>
      </c>
      <c r="X333" s="66">
        <v>3794.3884</v>
      </c>
      <c r="Y333" s="66">
        <v>3914.662688</v>
      </c>
    </row>
    <row r="334" spans="1:25" ht="18.75">
      <c r="A334" s="138"/>
      <c r="B334" s="138">
        <v>4</v>
      </c>
      <c r="C334" s="138" t="s">
        <v>125</v>
      </c>
      <c r="D334" s="137" t="s">
        <v>507</v>
      </c>
      <c r="E334" s="136">
        <f>'TISWADI '!D111</f>
        <v>0</v>
      </c>
      <c r="F334" s="136">
        <f>'TISWADI '!E111</f>
        <v>0</v>
      </c>
      <c r="G334" s="136">
        <f>'TISWADI '!F111</f>
        <v>0</v>
      </c>
      <c r="H334" s="136">
        <f>'TISWADI '!G111</f>
        <v>0</v>
      </c>
      <c r="I334" s="136">
        <f>'TISWADI '!H111</f>
        <v>0</v>
      </c>
      <c r="J334" s="136">
        <f>'TISWADI '!I111</f>
        <v>0</v>
      </c>
      <c r="K334" s="136">
        <f>'TISWADI '!J111</f>
        <v>43.115757270876394</v>
      </c>
      <c r="L334" s="136">
        <f>'TISWADI '!K111</f>
        <v>61.48128412528429</v>
      </c>
      <c r="M334" s="136">
        <f>'TISWADI '!L111</f>
        <v>93.89868848225237</v>
      </c>
      <c r="N334" s="136">
        <f>'TISWADI '!M111</f>
        <v>138.6123496642773</v>
      </c>
      <c r="O334" s="136">
        <f>'TISWADI '!N111</f>
        <v>44.84</v>
      </c>
      <c r="P334" s="136">
        <f>'TISWADI '!O111</f>
        <v>274</v>
      </c>
      <c r="Q334" s="136">
        <f>'TISWADI '!P111</f>
        <v>572</v>
      </c>
      <c r="R334" s="136">
        <f>'TISWADI '!S111</f>
        <v>1227.9480795426903</v>
      </c>
      <c r="T334" s="66">
        <v>0</v>
      </c>
      <c r="U334" s="66">
        <v>0</v>
      </c>
      <c r="V334" s="66">
        <v>0</v>
      </c>
      <c r="W334" s="66">
        <v>10</v>
      </c>
      <c r="X334" s="66">
        <v>467</v>
      </c>
      <c r="Y334" s="66">
        <v>477</v>
      </c>
    </row>
    <row r="335" spans="1:25" ht="18.75">
      <c r="A335" s="138"/>
      <c r="B335" s="138">
        <v>5</v>
      </c>
      <c r="C335" s="138" t="s">
        <v>126</v>
      </c>
      <c r="D335" s="137" t="s">
        <v>508</v>
      </c>
      <c r="E335" s="136">
        <f>'TISWADI '!D112</f>
        <v>109.82324375652507</v>
      </c>
      <c r="F335" s="136">
        <f>'TISWADI '!E112</f>
        <v>1292.1171035785615</v>
      </c>
      <c r="G335" s="136">
        <f>'TISWADI '!F112</f>
        <v>1401.9403473350865</v>
      </c>
      <c r="H335" s="136">
        <f>'TISWADI '!G112</f>
        <v>156.40644921404456</v>
      </c>
      <c r="I335" s="136">
        <f>'TISWADI '!H112</f>
        <v>126.49670606158452</v>
      </c>
      <c r="J335" s="136">
        <f>'TISWADI '!I112</f>
        <v>1684.8435026107156</v>
      </c>
      <c r="K335" s="136">
        <f>'TISWADI '!J112</f>
        <v>90136.9141557486</v>
      </c>
      <c r="L335" s="136">
        <f>'TISWADI '!K112</f>
        <v>6227.859426780272</v>
      </c>
      <c r="M335" s="136">
        <f>'TISWADI '!L112</f>
        <v>9511.639851809869</v>
      </c>
      <c r="N335" s="136">
        <f>'TISWADI '!M112</f>
        <v>14040.992162195524</v>
      </c>
      <c r="O335" s="136">
        <f>'TISWADI '!N112</f>
        <v>44.84</v>
      </c>
      <c r="P335" s="136">
        <f>'TISWADI '!O112</f>
        <v>274</v>
      </c>
      <c r="Q335" s="136">
        <f>'TISWADI '!P112</f>
        <v>572</v>
      </c>
      <c r="R335" s="136">
        <f>'TISWADI '!S112</f>
        <v>122493.08909914499</v>
      </c>
      <c r="T335" s="66">
        <v>123.382614362538</v>
      </c>
      <c r="U335" s="66">
        <v>1451.64885728119</v>
      </c>
      <c r="V335" s="66">
        <v>1575.03147164373</v>
      </c>
      <c r="W335" s="66">
        <v>20905.7940440336</v>
      </c>
      <c r="X335" s="66">
        <v>47305.6214372448</v>
      </c>
      <c r="Y335" s="66">
        <v>69787.4469529221</v>
      </c>
    </row>
    <row r="336" spans="1:25" ht="18.75">
      <c r="A336" s="138">
        <v>5</v>
      </c>
      <c r="B336" s="138"/>
      <c r="C336" s="138" t="s">
        <v>78</v>
      </c>
      <c r="D336" s="137"/>
      <c r="E336" s="136">
        <f>'TISWADI '!D113</f>
        <v>269.64648751305015</v>
      </c>
      <c r="F336" s="136">
        <f>'TISWADI '!E113</f>
        <v>2666.584614365467</v>
      </c>
      <c r="G336" s="136">
        <f>'TISWADI '!F113</f>
        <v>2936.231101878517</v>
      </c>
      <c r="H336" s="136">
        <f>'TISWADI '!G113</f>
        <v>322.7811395009112</v>
      </c>
      <c r="I336" s="136">
        <f>'TISWADI '!H113</f>
        <v>282.3300762424201</v>
      </c>
      <c r="J336" s="136">
        <f>'TISWADI '!I113</f>
        <v>3541.3423176218485</v>
      </c>
      <c r="K336" s="136">
        <f>'TISWADI '!J113</f>
        <v>581067.0708589611</v>
      </c>
      <c r="L336" s="136">
        <f>'TISWADI '!K113</f>
        <v>37315.641309826315</v>
      </c>
      <c r="M336" s="136">
        <f>'TISWADI '!L113</f>
        <v>56745.16127318927</v>
      </c>
      <c r="N336" s="136">
        <f>'TISWADI '!M113</f>
        <v>84129.8094985175</v>
      </c>
      <c r="O336" s="136">
        <f>'TISWADI '!N113</f>
        <v>224.20000000000002</v>
      </c>
      <c r="P336" s="136">
        <f>'TISWADI '!O113</f>
        <v>1370</v>
      </c>
      <c r="Q336" s="136">
        <f>'TISWADI '!P113</f>
        <v>2860</v>
      </c>
      <c r="R336" s="136">
        <f>'TISWADI '!S113</f>
        <v>767253.2252581161</v>
      </c>
      <c r="T336" s="66">
        <v>245.765228725075</v>
      </c>
      <c r="U336" s="66">
        <v>2995.81554765162</v>
      </c>
      <c r="V336" s="66">
        <v>3241.5807763767</v>
      </c>
      <c r="W336" s="66">
        <v>134769.074611954</v>
      </c>
      <c r="X336" s="66">
        <v>283443.428693877</v>
      </c>
      <c r="Y336" s="66">
        <v>421454.084082207</v>
      </c>
    </row>
    <row r="337" spans="1:25" ht="18.75">
      <c r="A337" s="138"/>
      <c r="B337" s="138"/>
      <c r="C337" s="138"/>
      <c r="D337" s="141"/>
      <c r="E337" s="138"/>
      <c r="F337" s="138"/>
      <c r="G337" s="138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T337" s="67"/>
      <c r="U337" s="67"/>
      <c r="V337" s="67"/>
      <c r="W337" s="67"/>
      <c r="X337" s="67"/>
      <c r="Y337" s="67"/>
    </row>
    <row r="338" spans="1:25" ht="18.75">
      <c r="A338" s="138"/>
      <c r="B338" s="138"/>
      <c r="C338" s="138" t="s">
        <v>42</v>
      </c>
      <c r="D338" s="141"/>
      <c r="E338" s="138"/>
      <c r="F338" s="138"/>
      <c r="G338" s="138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T338" s="67"/>
      <c r="U338" s="67"/>
      <c r="V338" s="67"/>
      <c r="W338" s="67"/>
      <c r="X338" s="67"/>
      <c r="Y338" s="67"/>
    </row>
    <row r="339" spans="1:25" ht="18.75">
      <c r="A339" s="138"/>
      <c r="B339" s="138">
        <v>6</v>
      </c>
      <c r="C339" s="138" t="s">
        <v>276</v>
      </c>
      <c r="D339" s="137" t="s">
        <v>508</v>
      </c>
      <c r="E339" s="136">
        <f>BARDEZ!D108</f>
        <v>2132.556416150595</v>
      </c>
      <c r="F339" s="136">
        <f>BARDEZ!E108</f>
        <v>2941.0859717266203</v>
      </c>
      <c r="G339" s="136">
        <f>BARDEZ!F108</f>
        <v>5073.642387877215</v>
      </c>
      <c r="H339" s="136">
        <f>BARDEZ!G108</f>
        <v>356.00860974365236</v>
      </c>
      <c r="I339" s="136">
        <f>BARDEZ!H108</f>
        <v>333.45228997325773</v>
      </c>
      <c r="J339" s="136">
        <f>BARDEZ!I108</f>
        <v>5763.103287594125</v>
      </c>
      <c r="K339" s="136">
        <f>BARDEZ!J108</f>
        <v>0</v>
      </c>
      <c r="L339" s="136">
        <f>BARDEZ!K108</f>
        <v>2706.9243084422155</v>
      </c>
      <c r="M339" s="136">
        <f>BARDEZ!L108</f>
        <v>4134.2116710753835</v>
      </c>
      <c r="N339" s="136">
        <f>BARDEZ!M108</f>
        <v>6102.883895396995</v>
      </c>
      <c r="O339" s="136">
        <f>BARDEZ!N108</f>
        <v>39.2375</v>
      </c>
      <c r="P339" s="136">
        <f>BARDEZ!O108</f>
        <v>240</v>
      </c>
      <c r="Q339" s="136">
        <f>BARDEZ!P108</f>
        <v>501.09375</v>
      </c>
      <c r="R339" s="136">
        <f>BARDEZ!R108</f>
        <v>19487.454412508716</v>
      </c>
      <c r="T339" s="66">
        <v>2369.35882487112</v>
      </c>
      <c r="U339" s="66">
        <v>3304.20832461576</v>
      </c>
      <c r="V339" s="66">
        <v>5672.56714948688</v>
      </c>
      <c r="W339" s="66">
        <v>0</v>
      </c>
      <c r="X339" s="66">
        <v>20561.2760050117</v>
      </c>
      <c r="Y339" s="66">
        <v>26233.8431544986</v>
      </c>
    </row>
    <row r="340" spans="1:25" ht="18.75">
      <c r="A340" s="138"/>
      <c r="B340" s="138">
        <v>7</v>
      </c>
      <c r="C340" s="138" t="s">
        <v>277</v>
      </c>
      <c r="D340" s="137" t="s">
        <v>507</v>
      </c>
      <c r="E340" s="136">
        <f>BARDEZ!D109</f>
        <v>0</v>
      </c>
      <c r="F340" s="136">
        <f>BARDEZ!E109</f>
        <v>0</v>
      </c>
      <c r="G340" s="136">
        <f>BARDEZ!F109</f>
        <v>0</v>
      </c>
      <c r="H340" s="136">
        <f>BARDEZ!G109</f>
        <v>0</v>
      </c>
      <c r="I340" s="136">
        <f>BARDEZ!H109</f>
        <v>0</v>
      </c>
      <c r="J340" s="136">
        <f>BARDEZ!I109</f>
        <v>0</v>
      </c>
      <c r="K340" s="136">
        <f>BARDEZ!J109</f>
        <v>522.8832764606358</v>
      </c>
      <c r="L340" s="136">
        <f>BARDEZ!K109</f>
        <v>399.62975811919983</v>
      </c>
      <c r="M340" s="136">
        <f>BARDEZ!L109</f>
        <v>610.3436305820507</v>
      </c>
      <c r="N340" s="136">
        <f>BARDEZ!M109</f>
        <v>900.9834546687415</v>
      </c>
      <c r="O340" s="136">
        <f>BARDEZ!N109</f>
        <v>39.2375</v>
      </c>
      <c r="P340" s="136">
        <f>BARDEZ!O109</f>
        <v>240</v>
      </c>
      <c r="Q340" s="136">
        <f>BARDEZ!P109</f>
        <v>501.09375</v>
      </c>
      <c r="R340" s="136">
        <f>BARDEZ!R109</f>
        <v>3214.171369830628</v>
      </c>
      <c r="T340" s="66">
        <v>0</v>
      </c>
      <c r="U340" s="66">
        <v>0</v>
      </c>
      <c r="V340" s="66">
        <v>0</v>
      </c>
      <c r="W340" s="66">
        <v>121.274288</v>
      </c>
      <c r="X340" s="66">
        <v>3035.51072</v>
      </c>
      <c r="Y340" s="66">
        <v>3156.785008</v>
      </c>
    </row>
    <row r="341" spans="1:25" ht="18.75">
      <c r="A341" s="138"/>
      <c r="B341" s="138">
        <v>8</v>
      </c>
      <c r="C341" s="138" t="s">
        <v>278</v>
      </c>
      <c r="D341" s="137" t="s">
        <v>508</v>
      </c>
      <c r="E341" s="136">
        <f>BARDEZ!D110</f>
        <v>135.90244264655837</v>
      </c>
      <c r="F341" s="136">
        <f>BARDEZ!E110</f>
        <v>1562.757822018991</v>
      </c>
      <c r="G341" s="136">
        <f>BARDEZ!F110</f>
        <v>1698.6602646655492</v>
      </c>
      <c r="H341" s="136">
        <f>BARDEZ!G110</f>
        <v>189.1666020413474</v>
      </c>
      <c r="I341" s="136">
        <f>BARDEZ!H110</f>
        <v>177.18121110207758</v>
      </c>
      <c r="J341" s="136">
        <f>BARDEZ!I110</f>
        <v>2065.008077808974</v>
      </c>
      <c r="K341" s="136">
        <f>BARDEZ!J110</f>
        <v>522.8832764606358</v>
      </c>
      <c r="L341" s="136">
        <f>BARDEZ!K110</f>
        <v>399.62975811919983</v>
      </c>
      <c r="M341" s="136">
        <f>BARDEZ!L110</f>
        <v>610.3436305820507</v>
      </c>
      <c r="N341" s="136">
        <f>BARDEZ!M110</f>
        <v>900.9834546687415</v>
      </c>
      <c r="O341" s="136">
        <f>BARDEZ!N110</f>
        <v>39.2375</v>
      </c>
      <c r="P341" s="136">
        <f>BARDEZ!O110</f>
        <v>240</v>
      </c>
      <c r="Q341" s="136">
        <f>BARDEZ!P110</f>
        <v>501.09375</v>
      </c>
      <c r="R341" s="136">
        <f>BARDEZ!R110</f>
        <v>5279.179447639602</v>
      </c>
      <c r="T341" s="66">
        <v>150.993263</v>
      </c>
      <c r="U341" s="66">
        <v>1755.70434</v>
      </c>
      <c r="V341" s="66">
        <v>1906.697603</v>
      </c>
      <c r="W341" s="66">
        <v>121.274288</v>
      </c>
      <c r="X341" s="66">
        <v>3035.51072</v>
      </c>
      <c r="Y341" s="66">
        <v>5064.482611</v>
      </c>
    </row>
    <row r="342" spans="1:25" ht="18.75">
      <c r="A342" s="138"/>
      <c r="B342" s="138">
        <v>9</v>
      </c>
      <c r="C342" s="138" t="s">
        <v>279</v>
      </c>
      <c r="D342" s="137" t="s">
        <v>507</v>
      </c>
      <c r="E342" s="136">
        <f>BARDEZ!D111</f>
        <v>0</v>
      </c>
      <c r="F342" s="136">
        <f>BARDEZ!E111</f>
        <v>0</v>
      </c>
      <c r="G342" s="136">
        <f>BARDEZ!F111</f>
        <v>0</v>
      </c>
      <c r="H342" s="136">
        <f>BARDEZ!G111</f>
        <v>0</v>
      </c>
      <c r="I342" s="136">
        <f>BARDEZ!H111</f>
        <v>0</v>
      </c>
      <c r="J342" s="136">
        <f>BARDEZ!I111</f>
        <v>0</v>
      </c>
      <c r="K342" s="136">
        <f>BARDEZ!J111</f>
        <v>522.8832764606358</v>
      </c>
      <c r="L342" s="136">
        <f>BARDEZ!K111</f>
        <v>499.5371976489997</v>
      </c>
      <c r="M342" s="136">
        <f>BARDEZ!L111</f>
        <v>762.9295382275632</v>
      </c>
      <c r="N342" s="136">
        <f>BARDEZ!M111</f>
        <v>1126.2293183359266</v>
      </c>
      <c r="O342" s="136">
        <f>BARDEZ!N111</f>
        <v>39.2375</v>
      </c>
      <c r="P342" s="136">
        <f>BARDEZ!O111</f>
        <v>240</v>
      </c>
      <c r="Q342" s="136">
        <f>BARDEZ!P111</f>
        <v>501.09375</v>
      </c>
      <c r="R342" s="136">
        <f>BARDEZ!R111</f>
        <v>3691.9105806731254</v>
      </c>
      <c r="T342" s="66">
        <v>0</v>
      </c>
      <c r="U342" s="66">
        <v>0</v>
      </c>
      <c r="V342" s="66">
        <v>0</v>
      </c>
      <c r="W342" s="66">
        <v>121.274288</v>
      </c>
      <c r="X342" s="66">
        <v>3794.3884</v>
      </c>
      <c r="Y342" s="66">
        <v>3914.662688</v>
      </c>
    </row>
    <row r="343" spans="1:25" ht="18.75">
      <c r="A343" s="138"/>
      <c r="B343" s="138">
        <v>10</v>
      </c>
      <c r="C343" s="138" t="s">
        <v>280</v>
      </c>
      <c r="D343" s="137" t="s">
        <v>507</v>
      </c>
      <c r="E343" s="136">
        <f>BARDEZ!D112</f>
        <v>0</v>
      </c>
      <c r="F343" s="136">
        <f>BARDEZ!E112</f>
        <v>0</v>
      </c>
      <c r="G343" s="136">
        <f>BARDEZ!F112</f>
        <v>0</v>
      </c>
      <c r="H343" s="136">
        <f>BARDEZ!G112</f>
        <v>0</v>
      </c>
      <c r="I343" s="136">
        <f>BARDEZ!H112</f>
        <v>0</v>
      </c>
      <c r="J343" s="136">
        <f>BARDEZ!I112</f>
        <v>0</v>
      </c>
      <c r="K343" s="136">
        <f>BARDEZ!J112</f>
        <v>63042.87238154358</v>
      </c>
      <c r="L343" s="136">
        <f>BARDEZ!K112</f>
        <v>6865.920156627351</v>
      </c>
      <c r="M343" s="136">
        <f>BARDEZ!L112</f>
        <v>10486.132602849044</v>
      </c>
      <c r="N343" s="136">
        <f>BARDEZ!M112</f>
        <v>15479.529080396209</v>
      </c>
      <c r="O343" s="136">
        <f>BARDEZ!N112</f>
        <v>39.2375</v>
      </c>
      <c r="P343" s="136">
        <f>BARDEZ!O112</f>
        <v>240</v>
      </c>
      <c r="Q343" s="136">
        <f>BARDEZ!P112</f>
        <v>501.09375</v>
      </c>
      <c r="R343" s="136">
        <f>BARDEZ!R112</f>
        <v>96654.7854714162</v>
      </c>
      <c r="T343" s="66">
        <v>0</v>
      </c>
      <c r="U343" s="66">
        <v>0</v>
      </c>
      <c r="V343" s="66">
        <v>0</v>
      </c>
      <c r="W343" s="66">
        <v>14621.7708726474</v>
      </c>
      <c r="X343" s="66">
        <v>52152.2079241403</v>
      </c>
      <c r="Y343" s="66">
        <v>66773.9787967877</v>
      </c>
    </row>
    <row r="344" spans="1:25" ht="18.75">
      <c r="A344" s="138">
        <v>5</v>
      </c>
      <c r="B344" s="138"/>
      <c r="C344" s="138" t="s">
        <v>78</v>
      </c>
      <c r="D344" s="137"/>
      <c r="E344" s="136">
        <f>BARDEZ!D113</f>
        <v>2268.4588587971534</v>
      </c>
      <c r="F344" s="136">
        <f>BARDEZ!E113</f>
        <v>4503.843793745611</v>
      </c>
      <c r="G344" s="136">
        <f>BARDEZ!F113</f>
        <v>6772.302652542764</v>
      </c>
      <c r="H344" s="136">
        <f>BARDEZ!G113</f>
        <v>545.1752117849998</v>
      </c>
      <c r="I344" s="136">
        <f>BARDEZ!H113</f>
        <v>510.6335010753353</v>
      </c>
      <c r="J344" s="136">
        <f>BARDEZ!I113</f>
        <v>7828.111365403099</v>
      </c>
      <c r="K344" s="136">
        <f>BARDEZ!J113</f>
        <v>64611.52221092548</v>
      </c>
      <c r="L344" s="136">
        <f>BARDEZ!K113</f>
        <v>10871.641178956967</v>
      </c>
      <c r="M344" s="136">
        <f>BARDEZ!L113</f>
        <v>16603.96107331609</v>
      </c>
      <c r="N344" s="136">
        <f>BARDEZ!M113</f>
        <v>24510.609203466614</v>
      </c>
      <c r="O344" s="136">
        <f>BARDEZ!N113</f>
        <v>196.1875</v>
      </c>
      <c r="P344" s="136">
        <f>BARDEZ!O113</f>
        <v>1200</v>
      </c>
      <c r="Q344" s="136">
        <f>BARDEZ!P113</f>
        <v>2505.46875</v>
      </c>
      <c r="R344" s="136">
        <f>BARDEZ!R113</f>
        <v>128327.50128206826</v>
      </c>
      <c r="T344" s="66">
        <v>2520.35208787112</v>
      </c>
      <c r="U344" s="66">
        <v>5059.91266461576</v>
      </c>
      <c r="V344" s="66">
        <v>7580.26475248688</v>
      </c>
      <c r="W344" s="66">
        <v>14984.5937366474</v>
      </c>
      <c r="X344" s="66">
        <v>82578.893769152</v>
      </c>
      <c r="Y344" s="66">
        <v>105143.752258286</v>
      </c>
    </row>
    <row r="345" spans="1:25" ht="18.75">
      <c r="A345" s="138"/>
      <c r="B345" s="138"/>
      <c r="C345" s="138"/>
      <c r="D345" s="141"/>
      <c r="E345" s="136"/>
      <c r="F345" s="138"/>
      <c r="G345" s="138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T345" s="67"/>
      <c r="U345" s="67"/>
      <c r="V345" s="67"/>
      <c r="W345" s="67"/>
      <c r="X345" s="67"/>
      <c r="Y345" s="67"/>
    </row>
    <row r="346" spans="1:25" ht="18.75">
      <c r="A346" s="138"/>
      <c r="B346" s="138"/>
      <c r="C346" s="138"/>
      <c r="D346" s="141"/>
      <c r="E346" s="138"/>
      <c r="F346" s="138"/>
      <c r="G346" s="138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T346" s="67"/>
      <c r="U346" s="67"/>
      <c r="V346" s="67"/>
      <c r="W346" s="67"/>
      <c r="X346" s="67"/>
      <c r="Y346" s="67"/>
    </row>
    <row r="347" spans="1:25" ht="18.75">
      <c r="A347" s="138"/>
      <c r="B347" s="138"/>
      <c r="C347" s="138" t="s">
        <v>43</v>
      </c>
      <c r="D347" s="141"/>
      <c r="E347" s="138"/>
      <c r="F347" s="138"/>
      <c r="G347" s="138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T347" s="67"/>
      <c r="U347" s="67"/>
      <c r="V347" s="67"/>
      <c r="W347" s="67"/>
      <c r="X347" s="67"/>
      <c r="Y347" s="67"/>
    </row>
    <row r="348" spans="1:25" ht="18.75">
      <c r="A348" s="138"/>
      <c r="B348" s="138">
        <v>15</v>
      </c>
      <c r="C348" s="138" t="s">
        <v>43</v>
      </c>
      <c r="D348" s="137" t="s">
        <v>507</v>
      </c>
      <c r="E348" s="136">
        <f>BICHOLIM!D40</f>
        <v>18649.4356001486</v>
      </c>
      <c r="F348" s="136">
        <f>BICHOLIM!E40</f>
        <v>26702.73115517748</v>
      </c>
      <c r="G348" s="136">
        <f>BICHOLIM!F40</f>
        <v>45352.16675532608</v>
      </c>
      <c r="H348" s="136">
        <f>BICHOLIM!G40</f>
        <v>3232.2762021581893</v>
      </c>
      <c r="I348" s="136">
        <f>BICHOLIM!H40</f>
        <v>3027.4826842300267</v>
      </c>
      <c r="J348" s="136">
        <f>BICHOLIM!I40</f>
        <v>51611.92564171429</v>
      </c>
      <c r="K348" s="136">
        <f>BICHOLIM!J40</f>
        <v>4968.584371257733</v>
      </c>
      <c r="L348" s="136">
        <f>BICHOLIM!K40</f>
        <v>18431.21871929826</v>
      </c>
      <c r="M348" s="136">
        <f>BICHOLIM!L40</f>
        <v>30149.497680382792</v>
      </c>
      <c r="N348" s="136">
        <f>BICHOLIM!M40</f>
        <v>46554.020385326985</v>
      </c>
      <c r="O348" s="136">
        <f>BICHOLIM!N40</f>
        <v>165</v>
      </c>
      <c r="P348" s="136">
        <f>BICHOLIM!O40</f>
        <v>999</v>
      </c>
      <c r="Q348" s="136">
        <f>BICHOLIM!P40</f>
        <v>2009</v>
      </c>
      <c r="R348" s="136">
        <f>BICHOLIM!R40</f>
        <v>154888.24679798004</v>
      </c>
      <c r="T348" s="66">
        <v>20720.2981752007</v>
      </c>
      <c r="U348" s="66">
        <v>29999.5945107025</v>
      </c>
      <c r="V348" s="66">
        <v>50719.8926859033</v>
      </c>
      <c r="W348" s="66">
        <v>1152.38248978034</v>
      </c>
      <c r="X348" s="66">
        <v>139999.989661447</v>
      </c>
      <c r="Y348" s="66">
        <v>191872.264837131</v>
      </c>
    </row>
    <row r="349" spans="1:25" ht="18.75">
      <c r="A349" s="138"/>
      <c r="B349" s="138">
        <v>16</v>
      </c>
      <c r="C349" s="138" t="s">
        <v>374</v>
      </c>
      <c r="D349" s="137" t="s">
        <v>508</v>
      </c>
      <c r="E349" s="136">
        <f>BICHOLIM!D41</f>
        <v>0</v>
      </c>
      <c r="F349" s="136">
        <f>BICHOLIM!E41</f>
        <v>1141.1121349898506</v>
      </c>
      <c r="G349" s="136">
        <f>BICHOLIM!F41</f>
        <v>1141.1121349898506</v>
      </c>
      <c r="H349" s="136">
        <f>BICHOLIM!G41</f>
        <v>138.1278033504248</v>
      </c>
      <c r="I349" s="136">
        <f>BICHOLIM!H41</f>
        <v>129.37617539457895</v>
      </c>
      <c r="J349" s="136">
        <f>BICHOLIM!I41</f>
        <v>1408.6161137348543</v>
      </c>
      <c r="K349" s="136">
        <f>BICHOLIM!J41</f>
        <v>0</v>
      </c>
      <c r="L349" s="136">
        <f>BICHOLIM!K41</f>
        <v>251.58615409725545</v>
      </c>
      <c r="M349" s="136">
        <f>BICHOLIM!L41</f>
        <v>384.24067171217195</v>
      </c>
      <c r="N349" s="136">
        <f>BICHOLIM!M41</f>
        <v>2567.2124201465394</v>
      </c>
      <c r="O349" s="136">
        <f>BICHOLIM!N41</f>
        <v>165</v>
      </c>
      <c r="P349" s="136">
        <f>BICHOLIM!O41</f>
        <v>999</v>
      </c>
      <c r="Q349" s="136">
        <f>BICHOLIM!P41</f>
        <v>2009</v>
      </c>
      <c r="R349" s="136">
        <f>BICHOLIM!R41</f>
        <v>7784.655359690822</v>
      </c>
      <c r="T349" s="66">
        <v>0</v>
      </c>
      <c r="U349" s="66">
        <v>1282</v>
      </c>
      <c r="V349" s="66">
        <v>1282</v>
      </c>
      <c r="W349" s="66">
        <v>0</v>
      </c>
      <c r="X349" s="66">
        <v>1911</v>
      </c>
      <c r="Y349" s="66">
        <v>3193</v>
      </c>
    </row>
    <row r="350" spans="1:25" ht="18.75">
      <c r="A350" s="138">
        <v>20</v>
      </c>
      <c r="B350" s="138"/>
      <c r="C350" s="138"/>
      <c r="D350" s="137"/>
      <c r="E350" s="136">
        <f>BICHOLIM!D42</f>
        <v>18649.4356001486</v>
      </c>
      <c r="F350" s="136">
        <f>BICHOLIM!E42</f>
        <v>27843.84329016733</v>
      </c>
      <c r="G350" s="136">
        <f>BICHOLIM!F42</f>
        <v>46493.27889031593</v>
      </c>
      <c r="H350" s="136">
        <f>BICHOLIM!G42</f>
        <v>3370.4040055086143</v>
      </c>
      <c r="I350" s="136">
        <f>BICHOLIM!H42</f>
        <v>3156.858859624606</v>
      </c>
      <c r="J350" s="136">
        <f>BICHOLIM!I42</f>
        <v>53020.54175544914</v>
      </c>
      <c r="K350" s="136">
        <f>BICHOLIM!J42</f>
        <v>4968.584371257733</v>
      </c>
      <c r="L350" s="136">
        <f>BICHOLIM!K42</f>
        <v>18682.804873395515</v>
      </c>
      <c r="M350" s="136">
        <f>BICHOLIM!L42</f>
        <v>30533.738352094962</v>
      </c>
      <c r="N350" s="136">
        <f>BICHOLIM!M42</f>
        <v>49121.232805473526</v>
      </c>
      <c r="O350" s="136">
        <f>BICHOLIM!N42</f>
        <v>330</v>
      </c>
      <c r="P350" s="136">
        <f>BICHOLIM!O42</f>
        <v>1998</v>
      </c>
      <c r="Q350" s="136">
        <f>BICHOLIM!P42</f>
        <v>4018</v>
      </c>
      <c r="R350" s="136">
        <f>BICHOLIM!R42</f>
        <v>162672.90215767088</v>
      </c>
      <c r="T350" s="66">
        <v>20720.2981752007</v>
      </c>
      <c r="U350" s="66">
        <v>31281.5945107025</v>
      </c>
      <c r="V350" s="66">
        <v>52001.8926859033</v>
      </c>
      <c r="W350" s="66">
        <v>1152.38248978034</v>
      </c>
      <c r="X350" s="66">
        <v>141910.989661447</v>
      </c>
      <c r="Y350" s="66">
        <v>195065.264837131</v>
      </c>
    </row>
    <row r="351" spans="1:25" ht="18.75">
      <c r="A351" s="138"/>
      <c r="B351" s="138"/>
      <c r="C351" s="138"/>
      <c r="D351" s="141"/>
      <c r="E351" s="138"/>
      <c r="F351" s="138"/>
      <c r="G351" s="138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T351" s="67"/>
      <c r="U351" s="67"/>
      <c r="V351" s="67"/>
      <c r="W351" s="67"/>
      <c r="X351" s="67"/>
      <c r="Y351" s="67"/>
    </row>
    <row r="352" spans="1:25" ht="18.75">
      <c r="A352" s="138"/>
      <c r="B352" s="138"/>
      <c r="C352" s="138" t="s">
        <v>44</v>
      </c>
      <c r="D352" s="141"/>
      <c r="E352" s="138"/>
      <c r="F352" s="138"/>
      <c r="G352" s="138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T352" s="67"/>
      <c r="U352" s="67"/>
      <c r="V352" s="67"/>
      <c r="W352" s="67"/>
      <c r="X352" s="67"/>
      <c r="Y352" s="67"/>
    </row>
    <row r="353" spans="1:25" s="80" customFormat="1" ht="18.75">
      <c r="A353" s="138">
        <v>1</v>
      </c>
      <c r="B353" s="138">
        <v>17</v>
      </c>
      <c r="C353" s="138" t="s">
        <v>412</v>
      </c>
      <c r="D353" s="137" t="s">
        <v>508</v>
      </c>
      <c r="E353" s="136">
        <f>PERNEM!D38</f>
        <v>0</v>
      </c>
      <c r="F353" s="136">
        <f>PERNEM!E38</f>
        <v>0</v>
      </c>
      <c r="G353" s="136">
        <f>PERNEM!F38</f>
        <v>0</v>
      </c>
      <c r="H353" s="136">
        <f>PERNEM!G38</f>
        <v>0</v>
      </c>
      <c r="I353" s="136">
        <f>PERNEM!H38</f>
        <v>0</v>
      </c>
      <c r="J353" s="136">
        <f>PERNEM!I38</f>
        <v>0</v>
      </c>
      <c r="K353" s="136">
        <f>PERNEM!J38</f>
        <v>0</v>
      </c>
      <c r="L353" s="136">
        <f>PERNEM!K38</f>
        <v>65.8249094769326</v>
      </c>
      <c r="M353" s="136">
        <f>PERNEM!L38</f>
        <v>100.53258901931524</v>
      </c>
      <c r="N353" s="136">
        <f>PERNEM!M38</f>
        <v>148.4052504570844</v>
      </c>
      <c r="O353" s="136">
        <f>PERNEM!N38</f>
        <v>245</v>
      </c>
      <c r="P353" s="136">
        <f>PERNEM!O38</f>
        <v>1437</v>
      </c>
      <c r="Q353" s="136">
        <f>PERNEM!P38</f>
        <v>2969</v>
      </c>
      <c r="R353" s="136">
        <f>PERNEM!R38</f>
        <v>4965.762748953332</v>
      </c>
      <c r="T353" s="81">
        <v>0</v>
      </c>
      <c r="U353" s="81">
        <v>0</v>
      </c>
      <c r="V353" s="81">
        <v>0</v>
      </c>
      <c r="W353" s="81">
        <v>0</v>
      </c>
      <c r="X353" s="81">
        <v>500</v>
      </c>
      <c r="Y353" s="81">
        <v>500</v>
      </c>
    </row>
    <row r="354" spans="1:25" ht="18.75">
      <c r="A354" s="138"/>
      <c r="B354" s="138"/>
      <c r="C354" s="138"/>
      <c r="D354" s="141"/>
      <c r="E354" s="138"/>
      <c r="F354" s="138"/>
      <c r="G354" s="138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T354" s="67"/>
      <c r="U354" s="67"/>
      <c r="V354" s="67"/>
      <c r="W354" s="67"/>
      <c r="X354" s="67"/>
      <c r="Y354" s="67"/>
    </row>
    <row r="355" spans="1:25" ht="18.75">
      <c r="A355" s="136">
        <v>35</v>
      </c>
      <c r="B355" s="138"/>
      <c r="C355" s="143" t="s">
        <v>17</v>
      </c>
      <c r="D355" s="144"/>
      <c r="E355" s="145">
        <f aca="true" t="shared" si="16" ref="E355:R355">E336+E344+E350+E353</f>
        <v>21187.540946458805</v>
      </c>
      <c r="F355" s="145">
        <f t="shared" si="16"/>
        <v>35014.271698278404</v>
      </c>
      <c r="G355" s="145">
        <f t="shared" si="16"/>
        <v>56201.81264473721</v>
      </c>
      <c r="H355" s="145">
        <f t="shared" si="16"/>
        <v>4238.360356794526</v>
      </c>
      <c r="I355" s="145">
        <f t="shared" si="16"/>
        <v>3949.8224369423615</v>
      </c>
      <c r="J355" s="145">
        <f t="shared" si="16"/>
        <v>64389.99543847409</v>
      </c>
      <c r="K355" s="145">
        <f t="shared" si="16"/>
        <v>650647.1774411442</v>
      </c>
      <c r="L355" s="145">
        <f t="shared" si="16"/>
        <v>66935.91227165573</v>
      </c>
      <c r="M355" s="145">
        <f t="shared" si="16"/>
        <v>103983.39328761965</v>
      </c>
      <c r="N355" s="145">
        <f t="shared" si="16"/>
        <v>157910.05675791472</v>
      </c>
      <c r="O355" s="145">
        <f t="shared" si="16"/>
        <v>995.3875</v>
      </c>
      <c r="P355" s="145">
        <f t="shared" si="16"/>
        <v>6005</v>
      </c>
      <c r="Q355" s="145">
        <f t="shared" si="16"/>
        <v>12352.46875</v>
      </c>
      <c r="R355" s="145">
        <f t="shared" si="16"/>
        <v>1063219.3914468086</v>
      </c>
      <c r="T355" s="71">
        <v>109188.877622083</v>
      </c>
      <c r="U355" s="71">
        <v>72913.4849121656</v>
      </c>
      <c r="V355" s="71">
        <v>182102.362534248</v>
      </c>
      <c r="W355" s="71">
        <v>171082.423999553</v>
      </c>
      <c r="X355" s="71">
        <v>580647.45077922</v>
      </c>
      <c r="Y355" s="71">
        <v>933831.237313022</v>
      </c>
    </row>
    <row r="356" spans="1:25" ht="18.75">
      <c r="A356" s="138"/>
      <c r="B356" s="138"/>
      <c r="C356" s="138"/>
      <c r="D356" s="141"/>
      <c r="E356" s="138"/>
      <c r="F356" s="138"/>
      <c r="G356" s="138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T356" s="67"/>
      <c r="U356" s="67"/>
      <c r="V356" s="67"/>
      <c r="W356" s="67"/>
      <c r="X356" s="67"/>
      <c r="Y356" s="67"/>
    </row>
    <row r="357" spans="1:25" ht="18.75">
      <c r="A357" s="138"/>
      <c r="B357" s="138"/>
      <c r="C357" s="143" t="s">
        <v>465</v>
      </c>
      <c r="D357" s="141"/>
      <c r="E357" s="138"/>
      <c r="F357" s="138"/>
      <c r="G357" s="138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T357" s="67"/>
      <c r="U357" s="67"/>
      <c r="V357" s="67"/>
      <c r="W357" s="67"/>
      <c r="X357" s="67"/>
      <c r="Y357" s="67"/>
    </row>
    <row r="358" spans="1:25" ht="18.75">
      <c r="A358" s="138"/>
      <c r="B358" s="138"/>
      <c r="C358" s="138" t="s">
        <v>41</v>
      </c>
      <c r="D358" s="141"/>
      <c r="E358" s="138"/>
      <c r="F358" s="138"/>
      <c r="G358" s="138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T358" s="67"/>
      <c r="U358" s="67"/>
      <c r="V358" s="67"/>
      <c r="W358" s="67"/>
      <c r="X358" s="67"/>
      <c r="Y358" s="67"/>
    </row>
    <row r="359" spans="1:25" ht="18.75">
      <c r="A359" s="138"/>
      <c r="B359" s="138">
        <v>1</v>
      </c>
      <c r="C359" s="138" t="s">
        <v>71</v>
      </c>
      <c r="D359" s="137" t="s">
        <v>507</v>
      </c>
      <c r="E359" s="136">
        <f>'TISWADI '!D122</f>
        <v>0</v>
      </c>
      <c r="F359" s="136">
        <f>'TISWADI '!E122</f>
        <v>0</v>
      </c>
      <c r="G359" s="136">
        <f>'TISWADI '!F122</f>
        <v>0</v>
      </c>
      <c r="H359" s="136">
        <f>'TISWADI '!G122</f>
        <v>0</v>
      </c>
      <c r="I359" s="136">
        <f>'TISWADI '!H122</f>
        <v>0</v>
      </c>
      <c r="J359" s="136">
        <f>'TISWADI '!I122</f>
        <v>0</v>
      </c>
      <c r="K359" s="136">
        <f>'TISWADI '!J122</f>
        <v>674558.7344825199</v>
      </c>
      <c r="L359" s="136">
        <f>'TISWADI '!K122</f>
        <v>5092.884734597722</v>
      </c>
      <c r="M359" s="136">
        <f>'TISWADI '!L122</f>
        <v>7778.223958294701</v>
      </c>
      <c r="N359" s="136">
        <f>'TISWADI '!M122</f>
        <v>11482.140128911225</v>
      </c>
      <c r="O359" s="136">
        <f>'TISWADI '!N122</f>
        <v>44.84</v>
      </c>
      <c r="P359" s="136">
        <f>'TISWADI '!O122</f>
        <v>274</v>
      </c>
      <c r="Q359" s="136">
        <f>'TISWADI '!P122</f>
        <v>572</v>
      </c>
      <c r="R359" s="136">
        <f>'TISWADI '!S122</f>
        <v>699802.8233043236</v>
      </c>
      <c r="T359" s="66">
        <v>0</v>
      </c>
      <c r="U359" s="66">
        <v>0</v>
      </c>
      <c r="V359" s="66">
        <v>0</v>
      </c>
      <c r="W359" s="66">
        <v>156452.948337328</v>
      </c>
      <c r="X359" s="66">
        <v>38684.5721408578</v>
      </c>
      <c r="Y359" s="66">
        <v>195137.520478185</v>
      </c>
    </row>
    <row r="360" spans="1:25" ht="18.75">
      <c r="A360" s="138"/>
      <c r="B360" s="138">
        <v>2</v>
      </c>
      <c r="C360" s="138" t="s">
        <v>130</v>
      </c>
      <c r="D360" s="137" t="s">
        <v>507</v>
      </c>
      <c r="E360" s="136">
        <f>'TISWADI '!D123</f>
        <v>0</v>
      </c>
      <c r="F360" s="136">
        <f>'TISWADI '!E123</f>
        <v>0</v>
      </c>
      <c r="G360" s="136">
        <f>'TISWADI '!F123</f>
        <v>0</v>
      </c>
      <c r="H360" s="136">
        <f>'TISWADI '!G123</f>
        <v>0</v>
      </c>
      <c r="I360" s="136">
        <f>'TISWADI '!H123</f>
        <v>0</v>
      </c>
      <c r="J360" s="136">
        <f>'TISWADI '!I123</f>
        <v>0</v>
      </c>
      <c r="K360" s="136">
        <f>'TISWADI '!J123</f>
        <v>522.8832764606358</v>
      </c>
      <c r="L360" s="136">
        <f>'TISWADI '!K123</f>
        <v>399.62975811919983</v>
      </c>
      <c r="M360" s="136">
        <f>'TISWADI '!L123</f>
        <v>610.3436305820507</v>
      </c>
      <c r="N360" s="136">
        <f>'TISWADI '!M123</f>
        <v>900.9834546687415</v>
      </c>
      <c r="O360" s="136">
        <f>'TISWADI '!N123</f>
        <v>44.84</v>
      </c>
      <c r="P360" s="136">
        <f>'TISWADI '!O123</f>
        <v>274</v>
      </c>
      <c r="Q360" s="136">
        <f>'TISWADI '!P123</f>
        <v>572</v>
      </c>
      <c r="R360" s="136">
        <f>'TISWADI '!S123</f>
        <v>3324.680119830628</v>
      </c>
      <c r="T360" s="66">
        <v>0</v>
      </c>
      <c r="U360" s="66">
        <v>0</v>
      </c>
      <c r="V360" s="66">
        <v>0</v>
      </c>
      <c r="W360" s="66">
        <v>121.274288</v>
      </c>
      <c r="X360" s="66">
        <v>3035.51072</v>
      </c>
      <c r="Y360" s="66">
        <v>3156.785008</v>
      </c>
    </row>
    <row r="361" spans="1:25" ht="18.75">
      <c r="A361" s="138"/>
      <c r="B361" s="138">
        <v>3</v>
      </c>
      <c r="C361" s="138" t="s">
        <v>131</v>
      </c>
      <c r="D361" s="137" t="s">
        <v>507</v>
      </c>
      <c r="E361" s="136">
        <f>'TISWADI '!D124</f>
        <v>0</v>
      </c>
      <c r="F361" s="136">
        <f>'TISWADI '!E124</f>
        <v>0</v>
      </c>
      <c r="G361" s="136">
        <f>'TISWADI '!F124</f>
        <v>0</v>
      </c>
      <c r="H361" s="136">
        <f>'TISWADI '!G124</f>
        <v>0</v>
      </c>
      <c r="I361" s="136">
        <f>'TISWADI '!H124</f>
        <v>0</v>
      </c>
      <c r="J361" s="136">
        <f>'TISWADI '!I124</f>
        <v>0</v>
      </c>
      <c r="K361" s="136">
        <f>'TISWADI '!J124</f>
        <v>522.8832764606358</v>
      </c>
      <c r="L361" s="136">
        <f>'TISWADI '!K124</f>
        <v>399.62975811919983</v>
      </c>
      <c r="M361" s="136">
        <f>'TISWADI '!L124</f>
        <v>610.3436305820507</v>
      </c>
      <c r="N361" s="136">
        <f>'TISWADI '!M124</f>
        <v>900.9834546687415</v>
      </c>
      <c r="O361" s="136">
        <f>'TISWADI '!N124</f>
        <v>44.84</v>
      </c>
      <c r="P361" s="136">
        <f>'TISWADI '!O124</f>
        <v>274</v>
      </c>
      <c r="Q361" s="136">
        <f>'TISWADI '!P124</f>
        <v>572</v>
      </c>
      <c r="R361" s="136">
        <f>'TISWADI '!S124</f>
        <v>3324.680119830628</v>
      </c>
      <c r="T361" s="66">
        <v>0</v>
      </c>
      <c r="U361" s="66">
        <v>0</v>
      </c>
      <c r="V361" s="66">
        <v>0</v>
      </c>
      <c r="W361" s="66">
        <v>121.274288</v>
      </c>
      <c r="X361" s="66">
        <v>3035.51072</v>
      </c>
      <c r="Y361" s="66">
        <v>3156.785008</v>
      </c>
    </row>
    <row r="362" spans="1:25" ht="18.75">
      <c r="A362" s="138">
        <v>3</v>
      </c>
      <c r="B362" s="138"/>
      <c r="C362" s="138" t="s">
        <v>17</v>
      </c>
      <c r="D362" s="137"/>
      <c r="E362" s="136">
        <f>'TISWADI '!D125</f>
        <v>0</v>
      </c>
      <c r="F362" s="136">
        <f>'TISWADI '!E125</f>
        <v>0</v>
      </c>
      <c r="G362" s="136">
        <f>'TISWADI '!F125</f>
        <v>0</v>
      </c>
      <c r="H362" s="136">
        <f>'TISWADI '!G125</f>
        <v>0</v>
      </c>
      <c r="I362" s="136">
        <f>'TISWADI '!H125</f>
        <v>0</v>
      </c>
      <c r="J362" s="136">
        <f>'TISWADI '!I125</f>
        <v>0</v>
      </c>
      <c r="K362" s="136">
        <f>'TISWADI '!J125</f>
        <v>675604.5010354412</v>
      </c>
      <c r="L362" s="136">
        <f>'TISWADI '!K125</f>
        <v>5892.1442508361215</v>
      </c>
      <c r="M362" s="136">
        <f>'TISWADI '!L125</f>
        <v>8998.911219458803</v>
      </c>
      <c r="N362" s="136">
        <f>'TISWADI '!M125</f>
        <v>13284.107038248709</v>
      </c>
      <c r="O362" s="136">
        <f>'TISWADI '!N125</f>
        <v>134.52</v>
      </c>
      <c r="P362" s="136">
        <f>'TISWADI '!O125</f>
        <v>822</v>
      </c>
      <c r="Q362" s="136">
        <f>'TISWADI '!P125</f>
        <v>1716</v>
      </c>
      <c r="R362" s="136">
        <f>'TISWADI '!S125</f>
        <v>706452.1835439849</v>
      </c>
      <c r="T362" s="66">
        <v>0</v>
      </c>
      <c r="U362" s="66">
        <v>0</v>
      </c>
      <c r="V362" s="66">
        <v>0</v>
      </c>
      <c r="W362" s="66">
        <v>156695.496913328</v>
      </c>
      <c r="X362" s="66">
        <v>44756.5935808578</v>
      </c>
      <c r="Y362" s="66">
        <v>201452.090494185</v>
      </c>
    </row>
    <row r="363" spans="1:25" ht="18.75">
      <c r="A363" s="138"/>
      <c r="B363" s="138"/>
      <c r="C363" s="138"/>
      <c r="D363" s="141"/>
      <c r="E363" s="138"/>
      <c r="F363" s="138"/>
      <c r="G363" s="138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T363" s="67"/>
      <c r="U363" s="67"/>
      <c r="V363" s="67"/>
      <c r="W363" s="67"/>
      <c r="X363" s="67"/>
      <c r="Y363" s="67"/>
    </row>
    <row r="364" spans="1:25" ht="18.75">
      <c r="A364" s="138"/>
      <c r="B364" s="138"/>
      <c r="C364" s="138" t="s">
        <v>42</v>
      </c>
      <c r="D364" s="141"/>
      <c r="E364" s="138"/>
      <c r="F364" s="138"/>
      <c r="G364" s="138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T364" s="67"/>
      <c r="U364" s="67"/>
      <c r="V364" s="67"/>
      <c r="W364" s="67"/>
      <c r="X364" s="67"/>
      <c r="Y364" s="67"/>
    </row>
    <row r="365" spans="1:25" ht="18.75">
      <c r="A365" s="138">
        <v>1</v>
      </c>
      <c r="B365" s="138">
        <v>4</v>
      </c>
      <c r="C365" s="138" t="s">
        <v>323</v>
      </c>
      <c r="D365" s="137" t="s">
        <v>507</v>
      </c>
      <c r="E365" s="136">
        <f>BARDEZ!D192</f>
        <v>0</v>
      </c>
      <c r="F365" s="136">
        <f>BARDEZ!E192</f>
        <v>0</v>
      </c>
      <c r="G365" s="136">
        <f>BARDEZ!F192</f>
        <v>0</v>
      </c>
      <c r="H365" s="136">
        <f>BARDEZ!G192</f>
        <v>0</v>
      </c>
      <c r="I365" s="136">
        <f>BARDEZ!H192</f>
        <v>0</v>
      </c>
      <c r="J365" s="136">
        <f>BARDEZ!I192</f>
        <v>0</v>
      </c>
      <c r="K365" s="136">
        <f>BARDEZ!J192</f>
        <v>522.8832764606358</v>
      </c>
      <c r="L365" s="136">
        <f>BARDEZ!K192</f>
        <v>399.62975811919983</v>
      </c>
      <c r="M365" s="136">
        <f>BARDEZ!L192</f>
        <v>610.3436305820507</v>
      </c>
      <c r="N365" s="136">
        <f>BARDEZ!M192</f>
        <v>900.9834546687415</v>
      </c>
      <c r="O365" s="136">
        <f>BARDEZ!N192</f>
        <v>39.2375</v>
      </c>
      <c r="P365" s="136">
        <f>BARDEZ!O192</f>
        <v>240</v>
      </c>
      <c r="Q365" s="136">
        <f>BARDEZ!P192</f>
        <v>495</v>
      </c>
      <c r="R365" s="136">
        <f>BARDEZ!R192</f>
        <v>3208.077619830628</v>
      </c>
      <c r="T365" s="66">
        <v>0</v>
      </c>
      <c r="U365" s="66">
        <v>0</v>
      </c>
      <c r="V365" s="66">
        <v>0</v>
      </c>
      <c r="W365" s="66">
        <v>121.274288</v>
      </c>
      <c r="X365" s="66">
        <v>3035.51072</v>
      </c>
      <c r="Y365" s="66">
        <v>3156.785008</v>
      </c>
    </row>
    <row r="366" spans="1:25" ht="18.75">
      <c r="A366" s="138"/>
      <c r="B366" s="138"/>
      <c r="C366" s="138"/>
      <c r="D366" s="141"/>
      <c r="E366" s="138"/>
      <c r="F366" s="138"/>
      <c r="G366" s="138"/>
      <c r="H366" s="138"/>
      <c r="I366" s="138"/>
      <c r="J366" s="138"/>
      <c r="K366" s="138"/>
      <c r="L366" s="138"/>
      <c r="M366" s="138"/>
      <c r="N366" s="138"/>
      <c r="O366" s="138"/>
      <c r="P366" s="138"/>
      <c r="Q366" s="138"/>
      <c r="R366" s="138"/>
      <c r="T366" s="67"/>
      <c r="U366" s="67"/>
      <c r="V366" s="67"/>
      <c r="W366" s="67"/>
      <c r="X366" s="67"/>
      <c r="Y366" s="67"/>
    </row>
    <row r="367" spans="1:25" ht="18.75">
      <c r="A367" s="138"/>
      <c r="B367" s="138"/>
      <c r="C367" s="138"/>
      <c r="D367" s="141"/>
      <c r="E367" s="138"/>
      <c r="F367" s="138"/>
      <c r="G367" s="138"/>
      <c r="H367" s="138"/>
      <c r="I367" s="138"/>
      <c r="J367" s="138"/>
      <c r="K367" s="138"/>
      <c r="L367" s="138"/>
      <c r="M367" s="138"/>
      <c r="N367" s="138"/>
      <c r="O367" s="138"/>
      <c r="P367" s="138"/>
      <c r="Q367" s="138"/>
      <c r="R367" s="138"/>
      <c r="T367" s="67"/>
      <c r="U367" s="67"/>
      <c r="V367" s="67"/>
      <c r="W367" s="67"/>
      <c r="X367" s="67"/>
      <c r="Y367" s="67"/>
    </row>
    <row r="368" spans="1:25" ht="18.75">
      <c r="A368" s="145">
        <v>5</v>
      </c>
      <c r="B368" s="138"/>
      <c r="C368" s="143" t="s">
        <v>17</v>
      </c>
      <c r="D368" s="144"/>
      <c r="E368" s="145">
        <f aca="true" t="shared" si="17" ref="E368:R368">E362+E365</f>
        <v>0</v>
      </c>
      <c r="F368" s="145">
        <f t="shared" si="17"/>
        <v>0</v>
      </c>
      <c r="G368" s="145">
        <f t="shared" si="17"/>
        <v>0</v>
      </c>
      <c r="H368" s="145">
        <f t="shared" si="17"/>
        <v>0</v>
      </c>
      <c r="I368" s="145">
        <f t="shared" si="17"/>
        <v>0</v>
      </c>
      <c r="J368" s="145">
        <f t="shared" si="17"/>
        <v>0</v>
      </c>
      <c r="K368" s="145">
        <f t="shared" si="17"/>
        <v>676127.3843119019</v>
      </c>
      <c r="L368" s="145">
        <f t="shared" si="17"/>
        <v>6291.774008955322</v>
      </c>
      <c r="M368" s="145">
        <f t="shared" si="17"/>
        <v>9609.254850040854</v>
      </c>
      <c r="N368" s="145">
        <f t="shared" si="17"/>
        <v>14185.09049291745</v>
      </c>
      <c r="O368" s="145">
        <f t="shared" si="17"/>
        <v>173.7575</v>
      </c>
      <c r="P368" s="145">
        <f t="shared" si="17"/>
        <v>1062</v>
      </c>
      <c r="Q368" s="145">
        <f t="shared" si="17"/>
        <v>2211</v>
      </c>
      <c r="R368" s="145">
        <f t="shared" si="17"/>
        <v>709660.2611638155</v>
      </c>
      <c r="T368" s="71">
        <v>0</v>
      </c>
      <c r="U368" s="71">
        <v>0</v>
      </c>
      <c r="V368" s="71">
        <v>0</v>
      </c>
      <c r="W368" s="71">
        <v>156937.045489328</v>
      </c>
      <c r="X368" s="71">
        <v>50828.6150208578</v>
      </c>
      <c r="Y368" s="71">
        <v>207765.660510185</v>
      </c>
    </row>
    <row r="369" spans="1:25" ht="18.75">
      <c r="A369" s="138"/>
      <c r="B369" s="138"/>
      <c r="C369" s="138"/>
      <c r="D369" s="141"/>
      <c r="E369" s="138"/>
      <c r="F369" s="138"/>
      <c r="G369" s="138"/>
      <c r="H369" s="138"/>
      <c r="I369" s="138"/>
      <c r="J369" s="138"/>
      <c r="K369" s="138"/>
      <c r="L369" s="138"/>
      <c r="M369" s="138"/>
      <c r="N369" s="138"/>
      <c r="O369" s="138"/>
      <c r="P369" s="138"/>
      <c r="Q369" s="138"/>
      <c r="R369" s="138"/>
      <c r="T369" s="67"/>
      <c r="U369" s="67"/>
      <c r="V369" s="67"/>
      <c r="W369" s="67"/>
      <c r="X369" s="67"/>
      <c r="Y369" s="67"/>
    </row>
    <row r="370" spans="1:25" ht="18.75">
      <c r="A370" s="138"/>
      <c r="B370" s="138"/>
      <c r="C370" s="143" t="s">
        <v>466</v>
      </c>
      <c r="D370" s="141"/>
      <c r="E370" s="138"/>
      <c r="F370" s="138"/>
      <c r="G370" s="138"/>
      <c r="H370" s="138"/>
      <c r="I370" s="138"/>
      <c r="J370" s="138"/>
      <c r="K370" s="138"/>
      <c r="L370" s="138"/>
      <c r="M370" s="138"/>
      <c r="N370" s="138"/>
      <c r="O370" s="138"/>
      <c r="P370" s="138"/>
      <c r="Q370" s="138"/>
      <c r="R370" s="138"/>
      <c r="T370" s="67"/>
      <c r="U370" s="67"/>
      <c r="V370" s="67"/>
      <c r="W370" s="67"/>
      <c r="X370" s="67"/>
      <c r="Y370" s="67"/>
    </row>
    <row r="371" spans="1:25" ht="18.75">
      <c r="A371" s="138"/>
      <c r="B371" s="138"/>
      <c r="C371" s="138" t="s">
        <v>41</v>
      </c>
      <c r="D371" s="141"/>
      <c r="E371" s="138"/>
      <c r="F371" s="138"/>
      <c r="G371" s="138"/>
      <c r="H371" s="138"/>
      <c r="I371" s="138"/>
      <c r="J371" s="138"/>
      <c r="K371" s="138"/>
      <c r="L371" s="138"/>
      <c r="M371" s="138"/>
      <c r="N371" s="138"/>
      <c r="O371" s="138"/>
      <c r="P371" s="138"/>
      <c r="Q371" s="138"/>
      <c r="R371" s="138"/>
      <c r="T371" s="67"/>
      <c r="U371" s="67"/>
      <c r="V371" s="67"/>
      <c r="W371" s="67"/>
      <c r="X371" s="67"/>
      <c r="Y371" s="67"/>
    </row>
    <row r="372" spans="1:25" ht="18.75">
      <c r="A372" s="138">
        <v>1</v>
      </c>
      <c r="B372" s="138">
        <v>1</v>
      </c>
      <c r="C372" s="138" t="s">
        <v>71</v>
      </c>
      <c r="D372" s="144" t="s">
        <v>507</v>
      </c>
      <c r="E372" s="145">
        <f>'TISWADI '!D131</f>
        <v>0</v>
      </c>
      <c r="F372" s="145">
        <f>'TISWADI '!E131</f>
        <v>0</v>
      </c>
      <c r="G372" s="145">
        <f>'TISWADI '!F131</f>
        <v>0</v>
      </c>
      <c r="H372" s="145">
        <f>'TISWADI '!G131</f>
        <v>0</v>
      </c>
      <c r="I372" s="145">
        <f>'TISWADI '!H131</f>
        <v>0</v>
      </c>
      <c r="J372" s="145">
        <f>'TISWADI '!I131</f>
        <v>0</v>
      </c>
      <c r="K372" s="145">
        <f>'TISWADI '!J131</f>
        <v>15822.508374273353</v>
      </c>
      <c r="L372" s="145">
        <f>'TISWADI '!K131</f>
        <v>4137.727157190248</v>
      </c>
      <c r="M372" s="145">
        <f>'TISWADI '!L131</f>
        <v>6319.437840072379</v>
      </c>
      <c r="N372" s="145">
        <f>'TISWADI '!M131</f>
        <v>9328.693954392558</v>
      </c>
      <c r="O372" s="145">
        <f>'TISWADI '!N131</f>
        <v>44.84</v>
      </c>
      <c r="P372" s="145">
        <f>'TISWADI '!O131</f>
        <v>277.14</v>
      </c>
      <c r="Q372" s="145">
        <f>'TISWADI '!P131</f>
        <v>572.6785714285714</v>
      </c>
      <c r="R372" s="145">
        <f>'TISWADI '!S131</f>
        <v>36503.02589735711</v>
      </c>
      <c r="T372" s="71">
        <v>0</v>
      </c>
      <c r="U372" s="71">
        <v>0</v>
      </c>
      <c r="V372" s="71">
        <v>0</v>
      </c>
      <c r="W372" s="71">
        <v>3669.77397030692</v>
      </c>
      <c r="X372" s="71">
        <v>31429.3790362322</v>
      </c>
      <c r="Y372" s="71">
        <v>35099.1530065391</v>
      </c>
    </row>
    <row r="373" spans="1:25" ht="18.75">
      <c r="A373" s="138"/>
      <c r="B373" s="138"/>
      <c r="C373" s="138"/>
      <c r="D373" s="141"/>
      <c r="E373" s="138"/>
      <c r="F373" s="138"/>
      <c r="G373" s="138"/>
      <c r="H373" s="138"/>
      <c r="I373" s="138"/>
      <c r="J373" s="138"/>
      <c r="K373" s="138"/>
      <c r="L373" s="138"/>
      <c r="M373" s="138"/>
      <c r="N373" s="138"/>
      <c r="O373" s="138"/>
      <c r="P373" s="138"/>
      <c r="Q373" s="138"/>
      <c r="R373" s="138"/>
      <c r="T373" s="67"/>
      <c r="U373" s="67"/>
      <c r="V373" s="67"/>
      <c r="W373" s="67"/>
      <c r="X373" s="67"/>
      <c r="Y373" s="67"/>
    </row>
    <row r="374" spans="1:25" ht="18.75">
      <c r="A374" s="138"/>
      <c r="B374" s="138"/>
      <c r="C374" s="143" t="s">
        <v>467</v>
      </c>
      <c r="D374" s="141"/>
      <c r="E374" s="138"/>
      <c r="F374" s="138"/>
      <c r="G374" s="138"/>
      <c r="H374" s="138"/>
      <c r="I374" s="138"/>
      <c r="J374" s="138"/>
      <c r="K374" s="138"/>
      <c r="L374" s="138"/>
      <c r="M374" s="138"/>
      <c r="N374" s="138"/>
      <c r="O374" s="138"/>
      <c r="P374" s="138"/>
      <c r="Q374" s="138"/>
      <c r="R374" s="138"/>
      <c r="T374" s="67"/>
      <c r="U374" s="67"/>
      <c r="V374" s="67"/>
      <c r="W374" s="67"/>
      <c r="X374" s="67"/>
      <c r="Y374" s="67"/>
    </row>
    <row r="375" spans="1:25" ht="18.75">
      <c r="A375" s="138"/>
      <c r="B375" s="138"/>
      <c r="C375" s="138" t="s">
        <v>41</v>
      </c>
      <c r="D375" s="141"/>
      <c r="E375" s="138"/>
      <c r="F375" s="138"/>
      <c r="G375" s="138"/>
      <c r="H375" s="138"/>
      <c r="I375" s="138"/>
      <c r="J375" s="138"/>
      <c r="K375" s="138"/>
      <c r="L375" s="138"/>
      <c r="M375" s="138"/>
      <c r="N375" s="138"/>
      <c r="O375" s="138"/>
      <c r="P375" s="138"/>
      <c r="Q375" s="138"/>
      <c r="R375" s="138"/>
      <c r="T375" s="67"/>
      <c r="U375" s="67"/>
      <c r="V375" s="67"/>
      <c r="W375" s="67"/>
      <c r="X375" s="67"/>
      <c r="Y375" s="67"/>
    </row>
    <row r="376" spans="1:25" ht="18.75">
      <c r="A376" s="138">
        <v>1</v>
      </c>
      <c r="B376" s="138">
        <v>1</v>
      </c>
      <c r="C376" s="138" t="s">
        <v>71</v>
      </c>
      <c r="D376" s="137" t="s">
        <v>507</v>
      </c>
      <c r="E376" s="136">
        <f>'TISWADI '!D128</f>
        <v>0</v>
      </c>
      <c r="F376" s="136">
        <f>'TISWADI '!E128</f>
        <v>0</v>
      </c>
      <c r="G376" s="136">
        <f>'TISWADI '!F128</f>
        <v>0</v>
      </c>
      <c r="H376" s="136">
        <f>'TISWADI '!G128</f>
        <v>0</v>
      </c>
      <c r="I376" s="136">
        <f>'TISWADI '!H128</f>
        <v>0</v>
      </c>
      <c r="J376" s="136">
        <f>'TISWADI '!I128</f>
        <v>0</v>
      </c>
      <c r="K376" s="136">
        <f>'TISWADI '!J128</f>
        <v>748454.1926575936</v>
      </c>
      <c r="L376" s="136">
        <f>'TISWADI '!K128</f>
        <v>35190.01600974879</v>
      </c>
      <c r="M376" s="136">
        <f>'TISWADI '!L128</f>
        <v>53744.75172397996</v>
      </c>
      <c r="N376" s="136">
        <f>'TISWADI '!M128</f>
        <v>79337.4906401609</v>
      </c>
      <c r="O376" s="136">
        <f>'TISWADI '!N128</f>
        <v>44.84</v>
      </c>
      <c r="P376" s="136">
        <f>'TISWADI '!O128</f>
        <v>277.14</v>
      </c>
      <c r="Q376" s="136">
        <f>'TISWADI '!P128</f>
        <v>572.6785714285714</v>
      </c>
      <c r="R376" s="136">
        <f>'TISWADI '!S128</f>
        <v>917621.1096029117</v>
      </c>
      <c r="T376" s="66">
        <v>0</v>
      </c>
      <c r="U376" s="66">
        <v>0</v>
      </c>
      <c r="V376" s="66">
        <v>0</v>
      </c>
      <c r="W376" s="66">
        <v>173591.800314535</v>
      </c>
      <c r="X376" s="66">
        <v>267296.588065152</v>
      </c>
      <c r="Y376" s="66">
        <v>440889.388379688</v>
      </c>
    </row>
    <row r="377" spans="1:25" ht="18.75">
      <c r="A377" s="138"/>
      <c r="B377" s="138"/>
      <c r="C377" s="138"/>
      <c r="D377" s="141"/>
      <c r="E377" s="138"/>
      <c r="F377" s="138"/>
      <c r="G377" s="138"/>
      <c r="H377" s="138"/>
      <c r="I377" s="138"/>
      <c r="J377" s="138"/>
      <c r="K377" s="138"/>
      <c r="L377" s="138"/>
      <c r="M377" s="138"/>
      <c r="N377" s="138"/>
      <c r="O377" s="138"/>
      <c r="P377" s="138"/>
      <c r="Q377" s="138"/>
      <c r="R377" s="138"/>
      <c r="T377" s="67"/>
      <c r="U377" s="67"/>
      <c r="V377" s="67"/>
      <c r="W377" s="67"/>
      <c r="X377" s="67"/>
      <c r="Y377" s="67"/>
    </row>
    <row r="378" spans="1:25" ht="18.75">
      <c r="A378" s="138"/>
      <c r="B378" s="138"/>
      <c r="C378" s="138" t="s">
        <v>42</v>
      </c>
      <c r="D378" s="141"/>
      <c r="E378" s="138"/>
      <c r="F378" s="138"/>
      <c r="G378" s="138"/>
      <c r="H378" s="138"/>
      <c r="I378" s="138"/>
      <c r="J378" s="138"/>
      <c r="K378" s="138"/>
      <c r="L378" s="138"/>
      <c r="M378" s="138"/>
      <c r="N378" s="138"/>
      <c r="O378" s="138"/>
      <c r="P378" s="138"/>
      <c r="Q378" s="138"/>
      <c r="R378" s="138"/>
      <c r="T378" s="67"/>
      <c r="U378" s="67"/>
      <c r="V378" s="67"/>
      <c r="W378" s="67"/>
      <c r="X378" s="67"/>
      <c r="Y378" s="67"/>
    </row>
    <row r="379" spans="1:25" ht="18.75">
      <c r="A379" s="138"/>
      <c r="B379" s="138">
        <v>2</v>
      </c>
      <c r="C379" s="138" t="s">
        <v>283</v>
      </c>
      <c r="D379" s="137" t="s">
        <v>507</v>
      </c>
      <c r="E379" s="136">
        <f>BARDEZ!D121</f>
        <v>0</v>
      </c>
      <c r="F379" s="136">
        <f>BARDEZ!E121</f>
        <v>0</v>
      </c>
      <c r="G379" s="136">
        <f>BARDEZ!F121</f>
        <v>0</v>
      </c>
      <c r="H379" s="136">
        <f>BARDEZ!G121</f>
        <v>0</v>
      </c>
      <c r="I379" s="136">
        <f>BARDEZ!H121</f>
        <v>0</v>
      </c>
      <c r="J379" s="136">
        <f>BARDEZ!I121</f>
        <v>0</v>
      </c>
      <c r="K379" s="136">
        <f>BARDEZ!J121</f>
        <v>81577.45620874307</v>
      </c>
      <c r="L379" s="136">
        <f>BARDEZ!K121</f>
        <v>20316.01384862447</v>
      </c>
      <c r="M379" s="136">
        <f>BARDEZ!L121</f>
        <v>31028.093877899184</v>
      </c>
      <c r="N379" s="136">
        <f>BARDEZ!M121</f>
        <v>45803.376676898806</v>
      </c>
      <c r="O379" s="136">
        <f>BARDEZ!N121</f>
        <v>39.2375</v>
      </c>
      <c r="P379" s="136">
        <f>BARDEZ!O121</f>
        <v>240</v>
      </c>
      <c r="Q379" s="136">
        <f>BARDEZ!P121</f>
        <v>501.09375</v>
      </c>
      <c r="R379" s="136">
        <f>BARDEZ!R121</f>
        <v>179505.2718621655</v>
      </c>
      <c r="T379" s="66">
        <v>0</v>
      </c>
      <c r="U379" s="66">
        <v>0</v>
      </c>
      <c r="V379" s="66">
        <v>0</v>
      </c>
      <c r="W379" s="66">
        <v>18920.5667190836</v>
      </c>
      <c r="X379" s="66">
        <v>154316.530669304</v>
      </c>
      <c r="Y379" s="66">
        <v>173238.097388387</v>
      </c>
    </row>
    <row r="380" spans="1:25" ht="18.75">
      <c r="A380" s="138"/>
      <c r="B380" s="138">
        <v>3</v>
      </c>
      <c r="C380" s="138" t="s">
        <v>284</v>
      </c>
      <c r="D380" s="137" t="s">
        <v>508</v>
      </c>
      <c r="E380" s="136">
        <f>BARDEZ!D122</f>
        <v>0</v>
      </c>
      <c r="F380" s="136">
        <f>BARDEZ!E122</f>
        <v>0</v>
      </c>
      <c r="G380" s="136">
        <f>BARDEZ!F122</f>
        <v>0</v>
      </c>
      <c r="H380" s="136">
        <f>BARDEZ!G122</f>
        <v>0</v>
      </c>
      <c r="I380" s="136">
        <f>BARDEZ!H122</f>
        <v>0</v>
      </c>
      <c r="J380" s="136">
        <f>BARDEZ!I122</f>
        <v>0</v>
      </c>
      <c r="K380" s="136">
        <f>BARDEZ!J122</f>
        <v>4311.575727087639</v>
      </c>
      <c r="L380" s="136">
        <f>BARDEZ!K122</f>
        <v>658.2578600137505</v>
      </c>
      <c r="M380" s="136">
        <f>BARDEZ!L122</f>
        <v>1005.3392771119096</v>
      </c>
      <c r="N380" s="136">
        <f>BARDEZ!M122</f>
        <v>1484.0722662128192</v>
      </c>
      <c r="O380" s="136">
        <f>BARDEZ!N122</f>
        <v>39.2375</v>
      </c>
      <c r="P380" s="136">
        <f>BARDEZ!O122</f>
        <v>240</v>
      </c>
      <c r="Q380" s="136">
        <f>BARDEZ!P122</f>
        <v>501.09375</v>
      </c>
      <c r="R380" s="136">
        <f>BARDEZ!R122</f>
        <v>8239.576380426119</v>
      </c>
      <c r="T380" s="66">
        <v>0</v>
      </c>
      <c r="U380" s="66">
        <v>0</v>
      </c>
      <c r="V380" s="66">
        <v>0</v>
      </c>
      <c r="W380" s="66">
        <v>1000</v>
      </c>
      <c r="X380" s="66">
        <v>5000</v>
      </c>
      <c r="Y380" s="66">
        <v>6000</v>
      </c>
    </row>
    <row r="381" spans="1:25" ht="18.75">
      <c r="A381" s="138">
        <v>2</v>
      </c>
      <c r="B381" s="138"/>
      <c r="C381" s="138" t="s">
        <v>78</v>
      </c>
      <c r="D381" s="137"/>
      <c r="E381" s="136">
        <f>BARDEZ!D123</f>
        <v>0</v>
      </c>
      <c r="F381" s="136">
        <f>BARDEZ!E123</f>
        <v>0</v>
      </c>
      <c r="G381" s="136">
        <f>BARDEZ!F123</f>
        <v>0</v>
      </c>
      <c r="H381" s="136">
        <f>BARDEZ!G123</f>
        <v>0</v>
      </c>
      <c r="I381" s="136">
        <f>BARDEZ!H123</f>
        <v>0</v>
      </c>
      <c r="J381" s="136">
        <f>BARDEZ!I123</f>
        <v>0</v>
      </c>
      <c r="K381" s="136">
        <f>BARDEZ!J123</f>
        <v>85889.0319358307</v>
      </c>
      <c r="L381" s="136">
        <f>BARDEZ!K123</f>
        <v>20974.271708638218</v>
      </c>
      <c r="M381" s="136">
        <f>BARDEZ!L123</f>
        <v>32033.433155011095</v>
      </c>
      <c r="N381" s="136">
        <f>BARDEZ!M123</f>
        <v>47287.44894311162</v>
      </c>
      <c r="O381" s="136">
        <f>BARDEZ!N123</f>
        <v>78.475</v>
      </c>
      <c r="P381" s="136">
        <f>BARDEZ!O123</f>
        <v>480</v>
      </c>
      <c r="Q381" s="136">
        <f>BARDEZ!P123</f>
        <v>1002.1875</v>
      </c>
      <c r="R381" s="136">
        <f>BARDEZ!R123</f>
        <v>187744.84824259163</v>
      </c>
      <c r="T381" s="66">
        <v>0</v>
      </c>
      <c r="U381" s="66">
        <v>0</v>
      </c>
      <c r="V381" s="66">
        <v>0</v>
      </c>
      <c r="W381" s="66">
        <v>19920.5667190836</v>
      </c>
      <c r="X381" s="66">
        <v>159316.530669304</v>
      </c>
      <c r="Y381" s="66">
        <v>179238.097388387</v>
      </c>
    </row>
    <row r="382" spans="1:25" ht="18.75">
      <c r="A382" s="138"/>
      <c r="B382" s="138"/>
      <c r="C382" s="138"/>
      <c r="D382" s="141"/>
      <c r="E382" s="138"/>
      <c r="F382" s="138"/>
      <c r="G382" s="138"/>
      <c r="H382" s="138"/>
      <c r="I382" s="138"/>
      <c r="J382" s="138"/>
      <c r="K382" s="138"/>
      <c r="L382" s="138"/>
      <c r="M382" s="138"/>
      <c r="N382" s="138"/>
      <c r="O382" s="138"/>
      <c r="P382" s="138"/>
      <c r="Q382" s="138"/>
      <c r="R382" s="138"/>
      <c r="T382" s="67"/>
      <c r="U382" s="67"/>
      <c r="V382" s="67"/>
      <c r="W382" s="67"/>
      <c r="X382" s="67"/>
      <c r="Y382" s="67"/>
    </row>
    <row r="383" spans="1:25" ht="18.75">
      <c r="A383" s="145">
        <v>5</v>
      </c>
      <c r="B383" s="143"/>
      <c r="C383" s="143" t="s">
        <v>17</v>
      </c>
      <c r="D383" s="144"/>
      <c r="E383" s="145">
        <f aca="true" t="shared" si="18" ref="E383:R383">E376+E381</f>
        <v>0</v>
      </c>
      <c r="F383" s="145">
        <f t="shared" si="18"/>
        <v>0</v>
      </c>
      <c r="G383" s="145">
        <f t="shared" si="18"/>
        <v>0</v>
      </c>
      <c r="H383" s="145">
        <f t="shared" si="18"/>
        <v>0</v>
      </c>
      <c r="I383" s="145">
        <f t="shared" si="18"/>
        <v>0</v>
      </c>
      <c r="J383" s="145">
        <f t="shared" si="18"/>
        <v>0</v>
      </c>
      <c r="K383" s="145">
        <f t="shared" si="18"/>
        <v>834343.2245934244</v>
      </c>
      <c r="L383" s="145">
        <f t="shared" si="18"/>
        <v>56164.28771838701</v>
      </c>
      <c r="M383" s="145">
        <f t="shared" si="18"/>
        <v>85778.18487899106</v>
      </c>
      <c r="N383" s="145">
        <f t="shared" si="18"/>
        <v>126624.93958327253</v>
      </c>
      <c r="O383" s="145">
        <f t="shared" si="18"/>
        <v>123.315</v>
      </c>
      <c r="P383" s="145">
        <f t="shared" si="18"/>
        <v>757.14</v>
      </c>
      <c r="Q383" s="145">
        <f t="shared" si="18"/>
        <v>1574.8660714285716</v>
      </c>
      <c r="R383" s="145">
        <f t="shared" si="18"/>
        <v>1105365.9578455035</v>
      </c>
      <c r="T383" s="71">
        <v>0</v>
      </c>
      <c r="U383" s="71">
        <v>0</v>
      </c>
      <c r="V383" s="71">
        <v>0</v>
      </c>
      <c r="W383" s="71">
        <v>193633.641321619</v>
      </c>
      <c r="X383" s="71">
        <v>429649.629454456</v>
      </c>
      <c r="Y383" s="71">
        <v>623284.270776075</v>
      </c>
    </row>
    <row r="384" spans="1:25" ht="18.75">
      <c r="A384" s="138"/>
      <c r="B384" s="138"/>
      <c r="C384" s="138"/>
      <c r="D384" s="141"/>
      <c r="E384" s="138"/>
      <c r="F384" s="138"/>
      <c r="G384" s="138"/>
      <c r="H384" s="138"/>
      <c r="I384" s="138"/>
      <c r="J384" s="138"/>
      <c r="K384" s="138"/>
      <c r="L384" s="138"/>
      <c r="M384" s="138"/>
      <c r="N384" s="138"/>
      <c r="O384" s="138"/>
      <c r="P384" s="138"/>
      <c r="Q384" s="138"/>
      <c r="R384" s="138"/>
      <c r="T384" s="67"/>
      <c r="U384" s="67"/>
      <c r="V384" s="67"/>
      <c r="W384" s="67"/>
      <c r="X384" s="67"/>
      <c r="Y384" s="67"/>
    </row>
    <row r="385" spans="1:25" ht="18.75">
      <c r="A385" s="138"/>
      <c r="B385" s="138"/>
      <c r="C385" s="143" t="s">
        <v>468</v>
      </c>
      <c r="D385" s="141"/>
      <c r="E385" s="138"/>
      <c r="F385" s="138"/>
      <c r="G385" s="138"/>
      <c r="H385" s="138"/>
      <c r="I385" s="138"/>
      <c r="J385" s="138"/>
      <c r="K385" s="138"/>
      <c r="L385" s="138"/>
      <c r="M385" s="138"/>
      <c r="N385" s="138"/>
      <c r="O385" s="138"/>
      <c r="P385" s="138"/>
      <c r="Q385" s="138"/>
      <c r="R385" s="138"/>
      <c r="T385" s="67"/>
      <c r="U385" s="67"/>
      <c r="V385" s="67"/>
      <c r="W385" s="67"/>
      <c r="X385" s="67"/>
      <c r="Y385" s="67"/>
    </row>
    <row r="386" spans="1:25" ht="18.75">
      <c r="A386" s="138"/>
      <c r="B386" s="138"/>
      <c r="C386" s="138" t="s">
        <v>41</v>
      </c>
      <c r="D386" s="141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T386" s="67"/>
      <c r="U386" s="67"/>
      <c r="V386" s="67"/>
      <c r="W386" s="67"/>
      <c r="X386" s="67"/>
      <c r="Y386" s="67"/>
    </row>
    <row r="387" spans="1:25" ht="18.75">
      <c r="A387" s="138"/>
      <c r="B387" s="138">
        <v>1</v>
      </c>
      <c r="C387" s="138" t="s">
        <v>136</v>
      </c>
      <c r="D387" s="137" t="s">
        <v>508</v>
      </c>
      <c r="E387" s="136">
        <f>'TISWADI '!D137</f>
        <v>413.26149857927396</v>
      </c>
      <c r="F387" s="136">
        <f>'TISWADI '!E137</f>
        <v>1521.5218093732383</v>
      </c>
      <c r="G387" s="136">
        <f>'TISWADI '!F137</f>
        <v>1934.7833079525121</v>
      </c>
      <c r="H387" s="136">
        <f>'TISWADI '!G137</f>
        <v>184.1751207740495</v>
      </c>
      <c r="I387" s="136">
        <f>'TISWADI '!H137</f>
        <v>172.50598467949868</v>
      </c>
      <c r="J387" s="136">
        <f>'TISWADI '!I137</f>
        <v>2291.4644134060604</v>
      </c>
      <c r="K387" s="136">
        <f>'TISWADI '!J137</f>
        <v>4282.91687831773</v>
      </c>
      <c r="L387" s="136">
        <f>'TISWADI '!K137</f>
        <v>3589.7683364670143</v>
      </c>
      <c r="M387" s="136">
        <f>'TISWADI '!L137</f>
        <v>5482.555277513257</v>
      </c>
      <c r="N387" s="136">
        <f>'TISWADI '!M137</f>
        <v>8093.295885852904</v>
      </c>
      <c r="O387" s="136">
        <f>'TISWADI '!N137</f>
        <v>44.84</v>
      </c>
      <c r="P387" s="136">
        <f>'TISWADI '!O137</f>
        <v>274</v>
      </c>
      <c r="Q387" s="136">
        <f>'TISWADI '!P137</f>
        <v>572</v>
      </c>
      <c r="R387" s="136">
        <f>'TISWADI '!S137</f>
        <v>24630.840791556966</v>
      </c>
      <c r="T387" s="66">
        <v>408.111724429932</v>
      </c>
      <c r="U387" s="66">
        <v>1709.37710660122</v>
      </c>
      <c r="V387" s="66">
        <v>2117.48883103115</v>
      </c>
      <c r="W387" s="66">
        <v>985.467297170208</v>
      </c>
      <c r="X387" s="66">
        <v>27267.1893077891</v>
      </c>
      <c r="Y387" s="66">
        <v>30369.1454359905</v>
      </c>
    </row>
    <row r="388" spans="1:25" ht="18.75">
      <c r="A388" s="138"/>
      <c r="B388" s="138">
        <v>2</v>
      </c>
      <c r="C388" s="138" t="s">
        <v>137</v>
      </c>
      <c r="D388" s="137" t="s">
        <v>507</v>
      </c>
      <c r="E388" s="136">
        <f>'TISWADI '!D138</f>
        <v>0</v>
      </c>
      <c r="F388" s="136">
        <f>'TISWADI '!E138</f>
        <v>549.0027147223024</v>
      </c>
      <c r="G388" s="136">
        <f>'TISWADI '!F138</f>
        <v>549.0027147223024</v>
      </c>
      <c r="H388" s="136">
        <f>'TISWADI '!G138</f>
        <v>66.45494048548177</v>
      </c>
      <c r="I388" s="136">
        <f>'TISWADI '!H138</f>
        <v>42.24442746167477</v>
      </c>
      <c r="J388" s="136">
        <f>'TISWADI '!I138</f>
        <v>657.7020826694588</v>
      </c>
      <c r="K388" s="136">
        <f>'TISWADI '!J138</f>
        <v>2302.935977407987</v>
      </c>
      <c r="L388" s="136">
        <f>'TISWADI '!K138</f>
        <v>17869.567470444974</v>
      </c>
      <c r="M388" s="136">
        <f>'TISWADI '!L138</f>
        <v>27291.703045770504</v>
      </c>
      <c r="N388" s="136">
        <f>'TISWADI '!M138</f>
        <v>40287.75211518503</v>
      </c>
      <c r="O388" s="136">
        <f>'TISWADI '!N138</f>
        <v>44.84</v>
      </c>
      <c r="P388" s="136">
        <f>'TISWADI '!O138</f>
        <v>274</v>
      </c>
      <c r="Q388" s="136">
        <f>'TISWADI '!P138</f>
        <v>572</v>
      </c>
      <c r="R388" s="136">
        <f>'TISWADI '!S138</f>
        <v>89300.50069147795</v>
      </c>
      <c r="T388" s="66">
        <v>0</v>
      </c>
      <c r="U388" s="66">
        <v>616.785553928275</v>
      </c>
      <c r="V388" s="66">
        <v>616.785553928275</v>
      </c>
      <c r="W388" s="66">
        <v>534.128616352417</v>
      </c>
      <c r="X388" s="66">
        <v>135733.794884513</v>
      </c>
      <c r="Y388" s="66">
        <v>136884.709054794</v>
      </c>
    </row>
    <row r="389" spans="1:25" ht="18.75">
      <c r="A389" s="138"/>
      <c r="B389" s="138">
        <v>3</v>
      </c>
      <c r="C389" s="138" t="s">
        <v>138</v>
      </c>
      <c r="D389" s="137" t="s">
        <v>507</v>
      </c>
      <c r="E389" s="136">
        <f>'TISWADI '!D139</f>
        <v>0</v>
      </c>
      <c r="F389" s="136">
        <f>'TISWADI '!E139</f>
        <v>156.85791849208624</v>
      </c>
      <c r="G389" s="136">
        <f>'TISWADI '!F139</f>
        <v>156.85791849208624</v>
      </c>
      <c r="H389" s="136">
        <f>'TISWADI '!G139</f>
        <v>18.987125852994772</v>
      </c>
      <c r="I389" s="136">
        <f>'TISWADI '!H139</f>
        <v>17.784122131907058</v>
      </c>
      <c r="J389" s="136">
        <f>'TISWADI '!I139</f>
        <v>193.62916647698808</v>
      </c>
      <c r="K389" s="136">
        <f>'TISWADI '!J139</f>
        <v>23029.359774079872</v>
      </c>
      <c r="L389" s="136">
        <f>'TISWADI '!K139</f>
        <v>7888.750841745879</v>
      </c>
      <c r="M389" s="136">
        <f>'TISWADI '!L139</f>
        <v>12048.274012848253</v>
      </c>
      <c r="N389" s="136">
        <f>'TISWADI '!M139</f>
        <v>17785.547352299804</v>
      </c>
      <c r="O389" s="136">
        <f>'TISWADI '!N139</f>
        <v>44.84</v>
      </c>
      <c r="P389" s="136">
        <f>'TISWADI '!O139</f>
        <v>274</v>
      </c>
      <c r="Q389" s="136">
        <f>'TISWADI '!P139</f>
        <v>572</v>
      </c>
      <c r="R389" s="136">
        <f>'TISWADI '!S139</f>
        <v>61836.4011474508</v>
      </c>
      <c r="T389" s="66">
        <v>0</v>
      </c>
      <c r="U389" s="66">
        <v>176.224443979507</v>
      </c>
      <c r="V389" s="66">
        <v>176.224443979507</v>
      </c>
      <c r="W389" s="66">
        <v>5341.28616352417</v>
      </c>
      <c r="X389" s="66">
        <v>59921.4329288912</v>
      </c>
      <c r="Y389" s="66">
        <v>65437.9435363949</v>
      </c>
    </row>
    <row r="390" spans="1:25" ht="18.75">
      <c r="A390" s="138"/>
      <c r="B390" s="138">
        <v>4</v>
      </c>
      <c r="C390" s="138" t="s">
        <v>139</v>
      </c>
      <c r="D390" s="137" t="s">
        <v>507</v>
      </c>
      <c r="E390" s="136">
        <f>'TISWADI '!D140</f>
        <v>0</v>
      </c>
      <c r="F390" s="136">
        <f>'TISWADI '!E140</f>
        <v>688.2141173840283</v>
      </c>
      <c r="G390" s="136">
        <f>'TISWADI '!F140</f>
        <v>688.2141173840283</v>
      </c>
      <c r="H390" s="136">
        <f>'TISWADI '!G140</f>
        <v>83.30601468001456</v>
      </c>
      <c r="I390" s="136">
        <f>'TISWADI '!H140</f>
        <v>78.02783585374222</v>
      </c>
      <c r="J390" s="136">
        <f>'TISWADI '!I140</f>
        <v>849.5479679177851</v>
      </c>
      <c r="K390" s="136">
        <f>'TISWADI '!J140</f>
        <v>130657</v>
      </c>
      <c r="L390" s="136">
        <f>'TISWADI '!K140</f>
        <v>10768.531602455767</v>
      </c>
      <c r="M390" s="136">
        <f>'TISWADI '!L140</f>
        <v>16446.48462920517</v>
      </c>
      <c r="N390" s="136">
        <f>'TISWADI '!M140</f>
        <v>24278.14397644573</v>
      </c>
      <c r="O390" s="136">
        <f>'TISWADI '!N140</f>
        <v>44.84</v>
      </c>
      <c r="P390" s="136">
        <f>'TISWADI '!O140</f>
        <v>274</v>
      </c>
      <c r="Q390" s="136">
        <f>'TISWADI '!P140</f>
        <v>572</v>
      </c>
      <c r="R390" s="146">
        <f>SUM(J390:Q390)</f>
        <v>183890.54817602443</v>
      </c>
      <c r="T390" s="66">
        <v>0</v>
      </c>
      <c r="U390" s="66">
        <v>773.184747960087</v>
      </c>
      <c r="V390" s="66">
        <v>773.184747960087</v>
      </c>
      <c r="W390" s="66">
        <v>215850.721118798</v>
      </c>
      <c r="X390" s="66">
        <v>81795.6932730801</v>
      </c>
      <c r="Y390" s="66">
        <v>298419.599139838</v>
      </c>
    </row>
    <row r="391" spans="1:25" ht="18.75">
      <c r="A391" s="138"/>
      <c r="B391" s="138">
        <v>5</v>
      </c>
      <c r="C391" s="138" t="s">
        <v>140</v>
      </c>
      <c r="D391" s="137" t="s">
        <v>508</v>
      </c>
      <c r="E391" s="136">
        <f>'TISWADI '!D141</f>
        <v>7275.1512804684135</v>
      </c>
      <c r="F391" s="136">
        <f>'TISWADI '!E141</f>
        <v>686.2533934028771</v>
      </c>
      <c r="G391" s="136">
        <f>'TISWADI '!F141</f>
        <v>7961.4046738712905</v>
      </c>
      <c r="H391" s="136">
        <f>'TISWADI '!G141</f>
        <v>83.0686756068521</v>
      </c>
      <c r="I391" s="136">
        <f>'TISWADI '!H141</f>
        <v>77.80553432709337</v>
      </c>
      <c r="J391" s="136">
        <f>'TISWADI '!I141</f>
        <v>8122.278883805236</v>
      </c>
      <c r="K391" s="136">
        <f>'TISWADI '!J141</f>
        <v>21273.371091306228</v>
      </c>
      <c r="L391" s="136">
        <f>'TISWADI '!K141</f>
        <v>4930.469276091175</v>
      </c>
      <c r="M391" s="136">
        <f>'TISWADI '!L141</f>
        <v>7530.171258030157</v>
      </c>
      <c r="N391" s="136">
        <f>'TISWADI '!M141</f>
        <v>11115.967095187376</v>
      </c>
      <c r="O391" s="136">
        <f>'TISWADI '!N141</f>
        <v>44.84</v>
      </c>
      <c r="P391" s="136">
        <f>'TISWADI '!O141</f>
        <v>274</v>
      </c>
      <c r="Q391" s="136">
        <f>'TISWADI '!P141</f>
        <v>572</v>
      </c>
      <c r="R391" s="136">
        <f>'TISWADI '!S141</f>
        <v>53863.097604420174</v>
      </c>
      <c r="T391" s="66">
        <v>7948.68765604809</v>
      </c>
      <c r="U391" s="66">
        <v>770.981942410343</v>
      </c>
      <c r="V391" s="66">
        <v>8719.66959845843</v>
      </c>
      <c r="W391" s="66">
        <v>4934.01309355544</v>
      </c>
      <c r="X391" s="66">
        <v>37450.895580557</v>
      </c>
      <c r="Y391" s="66">
        <v>51104.5782725709</v>
      </c>
    </row>
    <row r="392" spans="1:25" ht="18.75">
      <c r="A392" s="138">
        <v>5</v>
      </c>
      <c r="B392" s="138"/>
      <c r="C392" s="138" t="s">
        <v>78</v>
      </c>
      <c r="D392" s="137"/>
      <c r="E392" s="136">
        <f>'TISWADI '!D142</f>
        <v>7688.412779047688</v>
      </c>
      <c r="F392" s="136">
        <f>'TISWADI '!E142</f>
        <v>3601.849953374532</v>
      </c>
      <c r="G392" s="136">
        <f>'TISWADI '!F142</f>
        <v>11290.26273242222</v>
      </c>
      <c r="H392" s="136">
        <f>'TISWADI '!G142</f>
        <v>435.99187739939265</v>
      </c>
      <c r="I392" s="136">
        <f>'TISWADI '!H142</f>
        <v>388.3679044539161</v>
      </c>
      <c r="J392" s="136">
        <f>'TISWADI '!I142</f>
        <v>12114.622514275528</v>
      </c>
      <c r="K392" s="136">
        <f>'TISWADI '!J142</f>
        <v>181545.58372111182</v>
      </c>
      <c r="L392" s="136">
        <f>'TISWADI '!K142</f>
        <v>45047.087527204814</v>
      </c>
      <c r="M392" s="136">
        <f>'TISWADI '!L142</f>
        <v>68799.18822336734</v>
      </c>
      <c r="N392" s="136">
        <f>'TISWADI '!M142</f>
        <v>101560.70642497083</v>
      </c>
      <c r="O392" s="136">
        <f>'TISWADI '!N142</f>
        <v>224.20000000000002</v>
      </c>
      <c r="P392" s="136">
        <f>'TISWADI '!O142</f>
        <v>1370</v>
      </c>
      <c r="Q392" s="136">
        <f>'TISWADI '!P142</f>
        <v>2860</v>
      </c>
      <c r="R392" s="136">
        <f>SUM(R387:R391)</f>
        <v>413521.3884109303</v>
      </c>
      <c r="T392" s="66">
        <v>8356.79938047802</v>
      </c>
      <c r="U392" s="66">
        <v>4045.55379487943</v>
      </c>
      <c r="V392" s="66">
        <v>12403.3531753575</v>
      </c>
      <c r="W392" s="66">
        <v>227644.6162894</v>
      </c>
      <c r="X392" s="66">
        <v>342169.00597483</v>
      </c>
      <c r="Y392" s="66">
        <v>582216.975439588</v>
      </c>
    </row>
    <row r="393" spans="1:25" ht="18.75">
      <c r="A393" s="138"/>
      <c r="B393" s="138"/>
      <c r="C393" s="138"/>
      <c r="D393" s="141"/>
      <c r="E393" s="138"/>
      <c r="F393" s="138"/>
      <c r="G393" s="138"/>
      <c r="H393" s="138"/>
      <c r="I393" s="138"/>
      <c r="J393" s="138"/>
      <c r="K393" s="138"/>
      <c r="L393" s="138"/>
      <c r="M393" s="138"/>
      <c r="N393" s="138"/>
      <c r="O393" s="138"/>
      <c r="P393" s="138"/>
      <c r="Q393" s="138"/>
      <c r="R393" s="142"/>
      <c r="T393" s="67">
        <v>1213521.1182611033</v>
      </c>
      <c r="U393" s="67"/>
      <c r="V393" s="67"/>
      <c r="W393" s="67"/>
      <c r="X393" s="67"/>
      <c r="Y393" s="67"/>
    </row>
    <row r="394" spans="1:25" ht="18.75">
      <c r="A394" s="138"/>
      <c r="B394" s="138"/>
      <c r="C394" s="138" t="s">
        <v>42</v>
      </c>
      <c r="D394" s="141"/>
      <c r="E394" s="138"/>
      <c r="F394" s="138"/>
      <c r="G394" s="138"/>
      <c r="H394" s="138"/>
      <c r="I394" s="138"/>
      <c r="J394" s="138"/>
      <c r="K394" s="138"/>
      <c r="L394" s="138"/>
      <c r="M394" s="138"/>
      <c r="N394" s="138"/>
      <c r="O394" s="138"/>
      <c r="P394" s="138"/>
      <c r="Q394" s="138"/>
      <c r="R394" s="138"/>
      <c r="T394" s="67"/>
      <c r="U394" s="67"/>
      <c r="V394" s="67"/>
      <c r="W394" s="67"/>
      <c r="X394" s="67"/>
      <c r="Y394" s="67"/>
    </row>
    <row r="395" spans="1:25" ht="18.75">
      <c r="A395" s="138"/>
      <c r="B395" s="138">
        <v>6</v>
      </c>
      <c r="C395" s="138" t="s">
        <v>285</v>
      </c>
      <c r="D395" s="137" t="s">
        <v>507</v>
      </c>
      <c r="E395" s="136">
        <f>BARDEZ!D126</f>
        <v>0</v>
      </c>
      <c r="F395" s="136">
        <f>BARDEZ!E126</f>
        <v>1637.2045242611553</v>
      </c>
      <c r="G395" s="136">
        <f>BARDEZ!F126</f>
        <v>1637.2045242611553</v>
      </c>
      <c r="H395" s="136">
        <f>BARDEZ!G126</f>
        <v>198.17812609063355</v>
      </c>
      <c r="I395" s="136">
        <f>BARDEZ!H126</f>
        <v>185.6217747517805</v>
      </c>
      <c r="J395" s="136">
        <f>BARDEZ!I126</f>
        <v>2021.0044251035692</v>
      </c>
      <c r="K395" s="136">
        <f>BARDEZ!J126</f>
        <v>335485.95584885194</v>
      </c>
      <c r="L395" s="136">
        <f>BARDEZ!K126</f>
        <v>7697.332622791762</v>
      </c>
      <c r="M395" s="136">
        <f>BARDEZ!L126</f>
        <v>11755.92618753651</v>
      </c>
      <c r="N395" s="136">
        <f>BARDEZ!M126</f>
        <v>17353.986276839612</v>
      </c>
      <c r="O395" s="136">
        <f>BARDEZ!N126</f>
        <v>39.2375</v>
      </c>
      <c r="P395" s="136">
        <f>BARDEZ!O126</f>
        <v>240</v>
      </c>
      <c r="Q395" s="136">
        <f>BARDEZ!P126</f>
        <v>501.09375</v>
      </c>
      <c r="R395" s="136">
        <f>BARDEZ!R126</f>
        <v>375094.53661112336</v>
      </c>
      <c r="T395" s="66">
        <v>0</v>
      </c>
      <c r="U395" s="66">
        <v>1839.34263403611</v>
      </c>
      <c r="V395" s="66">
        <v>1839.34263403611</v>
      </c>
      <c r="W395" s="66">
        <v>77810.5215086792</v>
      </c>
      <c r="X395" s="66">
        <v>58467.4569828226</v>
      </c>
      <c r="Y395" s="66">
        <v>138117.321125538</v>
      </c>
    </row>
    <row r="396" spans="1:25" ht="18.75">
      <c r="A396" s="138"/>
      <c r="B396" s="138">
        <v>7</v>
      </c>
      <c r="C396" s="138" t="s">
        <v>286</v>
      </c>
      <c r="D396" s="137" t="s">
        <v>508</v>
      </c>
      <c r="E396" s="136">
        <f>BARDEZ!D127</f>
        <v>0</v>
      </c>
      <c r="F396" s="136">
        <f>BARDEZ!E127</f>
        <v>2294.04705794677</v>
      </c>
      <c r="G396" s="136">
        <f>BARDEZ!F127</f>
        <v>2294.04705794677</v>
      </c>
      <c r="H396" s="136">
        <f>BARDEZ!G127</f>
        <v>277.68671560004964</v>
      </c>
      <c r="I396" s="136">
        <f>BARDEZ!H127</f>
        <v>260.09278617914174</v>
      </c>
      <c r="J396" s="136">
        <f>BARDEZ!I127</f>
        <v>2831.8265597259615</v>
      </c>
      <c r="K396" s="136">
        <f>BARDEZ!J127</f>
        <v>93522.23004253813</v>
      </c>
      <c r="L396" s="136">
        <f>BARDEZ!K127</f>
        <v>6961.0492108954795</v>
      </c>
      <c r="M396" s="136">
        <f>BARDEZ!L127</f>
        <v>10631.420613004004</v>
      </c>
      <c r="N396" s="136">
        <f>BARDEZ!M127</f>
        <v>15694.001857291625</v>
      </c>
      <c r="O396" s="136">
        <f>BARDEZ!N127</f>
        <v>39.2375</v>
      </c>
      <c r="P396" s="136">
        <f>BARDEZ!O127</f>
        <v>240</v>
      </c>
      <c r="Q396" s="136">
        <f>BARDEZ!P127</f>
        <v>501.09375</v>
      </c>
      <c r="R396" s="136">
        <f>BARDEZ!R127</f>
        <v>130420.8595334552</v>
      </c>
      <c r="T396" s="66">
        <v>0</v>
      </c>
      <c r="U396" s="66">
        <v>2577.2824932003</v>
      </c>
      <c r="V396" s="66">
        <v>2577.2824932003</v>
      </c>
      <c r="W396" s="66">
        <v>21690.9631100716</v>
      </c>
      <c r="X396" s="66">
        <v>52874.7899094594</v>
      </c>
      <c r="Y396" s="66">
        <v>77143.0355127313</v>
      </c>
    </row>
    <row r="397" spans="1:25" ht="18.75">
      <c r="A397" s="138"/>
      <c r="B397" s="138">
        <v>8</v>
      </c>
      <c r="C397" s="138" t="s">
        <v>287</v>
      </c>
      <c r="D397" s="137" t="s">
        <v>508</v>
      </c>
      <c r="E397" s="136">
        <f>BARDEZ!D128</f>
        <v>0</v>
      </c>
      <c r="F397" s="136">
        <f>BARDEZ!E128</f>
        <v>1637.2045242611553</v>
      </c>
      <c r="G397" s="136">
        <f>BARDEZ!F128</f>
        <v>1637.2045242611553</v>
      </c>
      <c r="H397" s="136">
        <f>BARDEZ!G128</f>
        <v>198.17812609063355</v>
      </c>
      <c r="I397" s="136">
        <f>BARDEZ!H128</f>
        <v>185.6217747517805</v>
      </c>
      <c r="J397" s="136">
        <f>BARDEZ!I128</f>
        <v>2021.0044251035692</v>
      </c>
      <c r="K397" s="136">
        <f>BARDEZ!J128</f>
        <v>40658.334681138</v>
      </c>
      <c r="L397" s="136">
        <f>BARDEZ!K128</f>
        <v>5648.964328246278</v>
      </c>
      <c r="M397" s="136">
        <f>BARDEZ!L128</f>
        <v>8627.509155867041</v>
      </c>
      <c r="N397" s="136">
        <f>BARDEZ!M128</f>
        <v>12735.846849137062</v>
      </c>
      <c r="O397" s="136">
        <f>BARDEZ!N128</f>
        <v>39.2375</v>
      </c>
      <c r="P397" s="136">
        <f>BARDEZ!O128</f>
        <v>240</v>
      </c>
      <c r="Q397" s="136">
        <f>BARDEZ!P128</f>
        <v>501.09375</v>
      </c>
      <c r="R397" s="136">
        <f>BARDEZ!R128</f>
        <v>70471.99068949195</v>
      </c>
      <c r="T397" s="66">
        <v>0</v>
      </c>
      <c r="U397" s="66">
        <v>1839.34263403611</v>
      </c>
      <c r="V397" s="66">
        <v>1839.34263403611</v>
      </c>
      <c r="W397" s="66">
        <v>9430.04072170192</v>
      </c>
      <c r="X397" s="66">
        <v>42908.4456973159</v>
      </c>
      <c r="Y397" s="66">
        <v>54176.8290530539</v>
      </c>
    </row>
    <row r="398" spans="1:25" ht="18.75">
      <c r="A398" s="138"/>
      <c r="B398" s="138">
        <v>9</v>
      </c>
      <c r="C398" s="138" t="s">
        <v>288</v>
      </c>
      <c r="D398" s="137" t="s">
        <v>507</v>
      </c>
      <c r="E398" s="136">
        <f>BARDEZ!D129</f>
        <v>0</v>
      </c>
      <c r="F398" s="136">
        <f>BARDEZ!E129</f>
        <v>1135.2591850864724</v>
      </c>
      <c r="G398" s="136">
        <f>BARDEZ!F129</f>
        <v>1135.2591850864724</v>
      </c>
      <c r="H398" s="136">
        <f>BARDEZ!G129</f>
        <v>137.41932336104944</v>
      </c>
      <c r="I398" s="136">
        <f>BARDEZ!H129</f>
        <v>128.71258392967715</v>
      </c>
      <c r="J398" s="136">
        <f>BARDEZ!I129</f>
        <v>1401.391092377199</v>
      </c>
      <c r="K398" s="136">
        <f>BARDEZ!J129</f>
        <v>4536.783875493728</v>
      </c>
      <c r="L398" s="136">
        <f>BARDEZ!K129</f>
        <v>8179.938556639743</v>
      </c>
      <c r="M398" s="136">
        <f>BARDEZ!L129</f>
        <v>12492.997068322515</v>
      </c>
      <c r="N398" s="136">
        <f>BARDEZ!M129</f>
        <v>18442.043291333237</v>
      </c>
      <c r="O398" s="136">
        <f>BARDEZ!N129</f>
        <v>39.2375</v>
      </c>
      <c r="P398" s="136">
        <f>BARDEZ!O129</f>
        <v>240</v>
      </c>
      <c r="Q398" s="136">
        <f>BARDEZ!P129</f>
        <v>501.09375</v>
      </c>
      <c r="R398" s="136">
        <f>BARDEZ!R129</f>
        <v>45833.485134166425</v>
      </c>
      <c r="T398" s="66">
        <v>0</v>
      </c>
      <c r="U398" s="66">
        <v>1275.42441330168</v>
      </c>
      <c r="V398" s="66">
        <v>1275.42441330168</v>
      </c>
      <c r="W398" s="66">
        <v>1052.23337421426</v>
      </c>
      <c r="X398" s="66">
        <v>62133.2387620018</v>
      </c>
      <c r="Y398" s="66">
        <v>64459.8965495177</v>
      </c>
    </row>
    <row r="399" spans="1:25" ht="18.75">
      <c r="A399" s="138"/>
      <c r="B399" s="138">
        <v>10</v>
      </c>
      <c r="C399" s="138" t="s">
        <v>289</v>
      </c>
      <c r="D399" s="137" t="s">
        <v>508</v>
      </c>
      <c r="E399" s="136">
        <f>BARDEZ!D130</f>
        <v>0</v>
      </c>
      <c r="F399" s="136">
        <f>BARDEZ!E130</f>
        <v>0</v>
      </c>
      <c r="G399" s="136">
        <f>BARDEZ!F130</f>
        <v>0</v>
      </c>
      <c r="H399" s="136">
        <f>BARDEZ!G130</f>
        <v>0</v>
      </c>
      <c r="I399" s="136">
        <f>BARDEZ!H130</f>
        <v>0</v>
      </c>
      <c r="J399" s="136">
        <f>BARDEZ!I130</f>
        <v>0</v>
      </c>
      <c r="K399" s="136">
        <f>BARDEZ!J130</f>
        <v>522.8832764606358</v>
      </c>
      <c r="L399" s="136">
        <f>BARDEZ!K130</f>
        <v>399.62975811919983</v>
      </c>
      <c r="M399" s="136">
        <f>BARDEZ!L130</f>
        <v>610.3436305820507</v>
      </c>
      <c r="N399" s="136">
        <f>BARDEZ!M130</f>
        <v>900.9834546687415</v>
      </c>
      <c r="O399" s="136">
        <f>BARDEZ!N130</f>
        <v>39.2375</v>
      </c>
      <c r="P399" s="136">
        <f>BARDEZ!O130</f>
        <v>240</v>
      </c>
      <c r="Q399" s="136">
        <f>BARDEZ!P130</f>
        <v>501.09375</v>
      </c>
      <c r="R399" s="136">
        <f>BARDEZ!R130</f>
        <v>3214.171369830628</v>
      </c>
      <c r="T399" s="66">
        <v>0</v>
      </c>
      <c r="U399" s="66">
        <v>0</v>
      </c>
      <c r="V399" s="66">
        <v>0</v>
      </c>
      <c r="W399" s="66">
        <v>121.274288</v>
      </c>
      <c r="X399" s="66">
        <v>3035.51072</v>
      </c>
      <c r="Y399" s="66">
        <v>3156.785008</v>
      </c>
    </row>
    <row r="400" spans="1:25" ht="18.75">
      <c r="A400" s="138"/>
      <c r="B400" s="138">
        <v>11</v>
      </c>
      <c r="C400" s="138" t="s">
        <v>290</v>
      </c>
      <c r="D400" s="137" t="s">
        <v>508</v>
      </c>
      <c r="E400" s="136">
        <f>BARDEZ!D131</f>
        <v>0</v>
      </c>
      <c r="F400" s="136">
        <f>BARDEZ!E131</f>
        <v>1619.5580084307906</v>
      </c>
      <c r="G400" s="136">
        <f>BARDEZ!F131</f>
        <v>1619.5580084307906</v>
      </c>
      <c r="H400" s="136">
        <f>BARDEZ!G131</f>
        <v>196.04207443217103</v>
      </c>
      <c r="I400" s="136">
        <f>BARDEZ!H131</f>
        <v>183.6210610119404</v>
      </c>
      <c r="J400" s="136">
        <f>BARDEZ!I131</f>
        <v>1999.221143874902</v>
      </c>
      <c r="K400" s="136">
        <f>BARDEZ!J131</f>
        <v>3632.881504361096</v>
      </c>
      <c r="L400" s="136">
        <f>BARDEZ!K131</f>
        <v>3166.328033932118</v>
      </c>
      <c r="M400" s="136">
        <f>BARDEZ!L131</f>
        <v>4835.846451823598</v>
      </c>
      <c r="N400" s="136">
        <f>BARDEZ!M131</f>
        <v>7138.630476501503</v>
      </c>
      <c r="O400" s="136">
        <f>BARDEZ!N131</f>
        <v>39.2375</v>
      </c>
      <c r="P400" s="136">
        <f>BARDEZ!O131</f>
        <v>240</v>
      </c>
      <c r="Q400" s="136">
        <f>BARDEZ!P131</f>
        <v>501.09375</v>
      </c>
      <c r="R400" s="136">
        <f>BARDEZ!R131</f>
        <v>21553.238860493217</v>
      </c>
      <c r="T400" s="66">
        <v>0</v>
      </c>
      <c r="U400" s="66">
        <v>1819.51738408841</v>
      </c>
      <c r="V400" s="66">
        <v>1819.51738408841</v>
      </c>
      <c r="W400" s="66">
        <v>842.587892295937</v>
      </c>
      <c r="X400" s="66">
        <v>24050.8182755765</v>
      </c>
      <c r="Y400" s="66">
        <v>26713.9235519609</v>
      </c>
    </row>
    <row r="401" spans="1:25" ht="18.75">
      <c r="A401" s="138">
        <v>6</v>
      </c>
      <c r="B401" s="138"/>
      <c r="C401" s="138" t="s">
        <v>78</v>
      </c>
      <c r="D401" s="137"/>
      <c r="E401" s="136">
        <f>BARDEZ!D132</f>
        <v>0</v>
      </c>
      <c r="F401" s="136">
        <f>BARDEZ!E132</f>
        <v>8323.273299986344</v>
      </c>
      <c r="G401" s="136">
        <f>BARDEZ!F132</f>
        <v>8323.273299986344</v>
      </c>
      <c r="H401" s="136">
        <f>BARDEZ!G132</f>
        <v>1007.5043655745372</v>
      </c>
      <c r="I401" s="136">
        <f>BARDEZ!H132</f>
        <v>943.6699806243203</v>
      </c>
      <c r="J401" s="136">
        <f>BARDEZ!I132</f>
        <v>10274.447646185201</v>
      </c>
      <c r="K401" s="136">
        <f>BARDEZ!J132</f>
        <v>478359.06922884355</v>
      </c>
      <c r="L401" s="136">
        <f>BARDEZ!K132</f>
        <v>32053.24251062458</v>
      </c>
      <c r="M401" s="136">
        <f>BARDEZ!L132</f>
        <v>48954.043107135716</v>
      </c>
      <c r="N401" s="136">
        <f>BARDEZ!M132</f>
        <v>72265.49220577178</v>
      </c>
      <c r="O401" s="136">
        <f>BARDEZ!N132</f>
        <v>235.425</v>
      </c>
      <c r="P401" s="136">
        <f>BARDEZ!O132</f>
        <v>1440</v>
      </c>
      <c r="Q401" s="136">
        <f>BARDEZ!P132</f>
        <v>3006.5625</v>
      </c>
      <c r="R401" s="136">
        <f>BARDEZ!R132</f>
        <v>646588.2821985608</v>
      </c>
      <c r="T401" s="66">
        <v>0</v>
      </c>
      <c r="U401" s="66">
        <v>9349.90955866261</v>
      </c>
      <c r="V401" s="66">
        <v>9349.90955866261</v>
      </c>
      <c r="W401" s="66">
        <v>110947.620894963</v>
      </c>
      <c r="X401" s="66">
        <v>243470.260347176</v>
      </c>
      <c r="Y401" s="66">
        <v>363767.790800802</v>
      </c>
    </row>
    <row r="402" spans="1:25" ht="18.75">
      <c r="A402" s="138"/>
      <c r="B402" s="138"/>
      <c r="C402" s="138"/>
      <c r="D402" s="141"/>
      <c r="E402" s="138"/>
      <c r="F402" s="138"/>
      <c r="G402" s="138"/>
      <c r="H402" s="138"/>
      <c r="I402" s="138"/>
      <c r="J402" s="138"/>
      <c r="K402" s="138"/>
      <c r="L402" s="138"/>
      <c r="M402" s="138"/>
      <c r="N402" s="138"/>
      <c r="O402" s="138"/>
      <c r="P402" s="138"/>
      <c r="Q402" s="138"/>
      <c r="R402" s="138"/>
      <c r="T402" s="67"/>
      <c r="U402" s="67"/>
      <c r="V402" s="67"/>
      <c r="W402" s="67"/>
      <c r="X402" s="67"/>
      <c r="Y402" s="67"/>
    </row>
    <row r="403" spans="1:25" ht="18.75">
      <c r="A403" s="138"/>
      <c r="B403" s="138"/>
      <c r="C403" s="138"/>
      <c r="D403" s="141"/>
      <c r="E403" s="138"/>
      <c r="F403" s="138"/>
      <c r="G403" s="138"/>
      <c r="H403" s="138"/>
      <c r="I403" s="138"/>
      <c r="J403" s="138"/>
      <c r="K403" s="138"/>
      <c r="L403" s="138"/>
      <c r="M403" s="138"/>
      <c r="N403" s="138"/>
      <c r="O403" s="138"/>
      <c r="P403" s="138"/>
      <c r="Q403" s="138"/>
      <c r="R403" s="138"/>
      <c r="T403" s="67"/>
      <c r="U403" s="67"/>
      <c r="V403" s="67"/>
      <c r="W403" s="67"/>
      <c r="X403" s="67"/>
      <c r="Y403" s="67"/>
    </row>
    <row r="404" spans="1:25" ht="18.75">
      <c r="A404" s="138"/>
      <c r="B404" s="138"/>
      <c r="C404" s="138" t="s">
        <v>43</v>
      </c>
      <c r="D404" s="141"/>
      <c r="E404" s="138"/>
      <c r="F404" s="138"/>
      <c r="G404" s="138"/>
      <c r="H404" s="138"/>
      <c r="I404" s="138"/>
      <c r="J404" s="138"/>
      <c r="K404" s="138"/>
      <c r="L404" s="138"/>
      <c r="M404" s="138"/>
      <c r="N404" s="138"/>
      <c r="O404" s="138"/>
      <c r="P404" s="138"/>
      <c r="Q404" s="138"/>
      <c r="R404" s="138"/>
      <c r="T404" s="67"/>
      <c r="U404" s="67"/>
      <c r="V404" s="67"/>
      <c r="W404" s="67"/>
      <c r="X404" s="67"/>
      <c r="Y404" s="67"/>
    </row>
    <row r="405" spans="1:25" ht="18.75">
      <c r="A405" s="138"/>
      <c r="B405" s="138">
        <v>14</v>
      </c>
      <c r="C405" s="138" t="s">
        <v>375</v>
      </c>
      <c r="D405" s="137" t="s">
        <v>508</v>
      </c>
      <c r="E405" s="136">
        <f>BICHOLIM!D45</f>
        <v>9647.51324286944</v>
      </c>
      <c r="F405" s="136">
        <f>BICHOLIM!E45</f>
        <v>782.3288684792799</v>
      </c>
      <c r="G405" s="136">
        <f>BICHOLIM!F45</f>
        <v>10429.84211134872</v>
      </c>
      <c r="H405" s="136">
        <f>BICHOLIM!G45</f>
        <v>94.6982901918114</v>
      </c>
      <c r="I405" s="136">
        <f>BICHOLIM!H45</f>
        <v>88.69830913288642</v>
      </c>
      <c r="J405" s="136">
        <f>BICHOLIM!I45</f>
        <v>10613.238710673417</v>
      </c>
      <c r="K405" s="136">
        <f>BICHOLIM!J45</f>
        <v>0</v>
      </c>
      <c r="L405" s="136">
        <f>BICHOLIM!K45</f>
        <v>7626.565887299627</v>
      </c>
      <c r="M405" s="136">
        <f>BICHOLIM!L45</f>
        <v>16647.846082421245</v>
      </c>
      <c r="N405" s="136">
        <f>BICHOLIM!M45</f>
        <v>17194.439455002794</v>
      </c>
      <c r="O405" s="136">
        <f>BICHOLIM!N45</f>
        <v>165</v>
      </c>
      <c r="P405" s="136">
        <f>BICHOLIM!O45</f>
        <v>999</v>
      </c>
      <c r="Q405" s="136">
        <f>BICHOLIM!P45</f>
        <v>2509</v>
      </c>
      <c r="R405" s="136">
        <f>BICHOLIM!R45</f>
        <v>55755.090135397084</v>
      </c>
      <c r="T405" s="66">
        <v>10718.7882425707</v>
      </c>
      <c r="U405" s="66">
        <v>878.919414347791</v>
      </c>
      <c r="V405" s="66">
        <v>11597.7076569185</v>
      </c>
      <c r="W405" s="66">
        <v>0</v>
      </c>
      <c r="X405" s="66">
        <v>57929.9264815487</v>
      </c>
      <c r="Y405" s="66">
        <v>69527.6341384672</v>
      </c>
    </row>
    <row r="406" spans="1:25" ht="18.75">
      <c r="A406" s="138"/>
      <c r="B406" s="138">
        <v>15</v>
      </c>
      <c r="C406" s="138" t="s">
        <v>43</v>
      </c>
      <c r="D406" s="137"/>
      <c r="E406" s="136">
        <f>BICHOLIM!D46</f>
        <v>9000.563332852695</v>
      </c>
      <c r="F406" s="136">
        <f>BICHOLIM!E46</f>
        <v>13351.546041222902</v>
      </c>
      <c r="G406" s="136">
        <f>BICHOLIM!F46</f>
        <v>22352.109374075597</v>
      </c>
      <c r="H406" s="136">
        <f>BICHOLIM!G46</f>
        <v>1616.1599455977944</v>
      </c>
      <c r="I406" s="136">
        <f>BICHOLIM!H46</f>
        <v>1513.7618025886775</v>
      </c>
      <c r="J406" s="136">
        <f>BICHOLIM!I46</f>
        <v>25482.03112226207</v>
      </c>
      <c r="K406" s="136">
        <f>BICHOLIM!J46</f>
        <v>2155.7878635438196</v>
      </c>
      <c r="L406" s="136">
        <f>BICHOLIM!K46</f>
        <v>6999.578600137505</v>
      </c>
      <c r="M406" s="136">
        <f>BICHOLIM!L46</f>
        <v>10053.392771119099</v>
      </c>
      <c r="N406" s="136">
        <f>BICHOLIM!M46</f>
        <v>14840.722662128192</v>
      </c>
      <c r="O406" s="136">
        <f>BICHOLIM!N46</f>
        <v>200</v>
      </c>
      <c r="P406" s="136">
        <f>BICHOLIM!O46</f>
        <v>1100</v>
      </c>
      <c r="Q406" s="136">
        <f>BICHOLIM!P46</f>
        <v>2009</v>
      </c>
      <c r="R406" s="136">
        <f>BICHOLIM!R46</f>
        <v>62840.51301919068</v>
      </c>
      <c r="T406" s="66">
        <v>10000</v>
      </c>
      <c r="U406" s="66">
        <v>15000</v>
      </c>
      <c r="V406" s="66">
        <v>25000</v>
      </c>
      <c r="W406" s="66">
        <v>500</v>
      </c>
      <c r="X406" s="66">
        <v>50000</v>
      </c>
      <c r="Y406" s="66">
        <v>75500</v>
      </c>
    </row>
    <row r="407" spans="1:25" ht="18.75">
      <c r="A407" s="138"/>
      <c r="B407" s="138">
        <v>16</v>
      </c>
      <c r="C407" s="138" t="s">
        <v>516</v>
      </c>
      <c r="D407" s="137" t="s">
        <v>507</v>
      </c>
      <c r="E407" s="136">
        <f>BICHOLIM!D47</f>
        <v>5356.089790644889</v>
      </c>
      <c r="F407" s="136">
        <f>BICHOLIM!E47</f>
        <v>266639.83846715104</v>
      </c>
      <c r="G407" s="136">
        <f>BICHOLIM!F47</f>
        <v>271995.9282577959</v>
      </c>
      <c r="H407" s="136">
        <f>BICHOLIM!G47</f>
        <v>32275.859701997877</v>
      </c>
      <c r="I407" s="136">
        <f>BICHOLIM!H47</f>
        <v>30231.896202865424</v>
      </c>
      <c r="J407" s="136">
        <f>BICHOLIM!I47</f>
        <v>334503.6841626592</v>
      </c>
      <c r="K407" s="136">
        <f>BICHOLIM!J47</f>
        <v>7055.956046088138</v>
      </c>
      <c r="L407" s="136">
        <f>BICHOLIM!K47</f>
        <v>3413.7061674669717</v>
      </c>
      <c r="M407" s="136">
        <f>BICHOLIM!L47</f>
        <v>5213.660328495011</v>
      </c>
      <c r="N407" s="136">
        <f>BICHOLIM!M47</f>
        <v>10474.355723016444</v>
      </c>
      <c r="O407" s="136">
        <f>BICHOLIM!N47</f>
        <v>165</v>
      </c>
      <c r="P407" s="136">
        <f>BICHOLIM!O47</f>
        <v>999</v>
      </c>
      <c r="Q407" s="136">
        <f>BICHOLIM!P47</f>
        <v>2009</v>
      </c>
      <c r="R407" s="136">
        <f>BICHOLIM!R47</f>
        <v>363834.3624277258</v>
      </c>
      <c r="T407" s="66">
        <v>5950.83840040854</v>
      </c>
      <c r="U407" s="66">
        <v>299560.63250342</v>
      </c>
      <c r="V407" s="66">
        <v>305512.470903829</v>
      </c>
      <c r="W407" s="66">
        <v>1636.51446540967</v>
      </c>
      <c r="X407" s="66">
        <v>25929.8549613647</v>
      </c>
      <c r="Y407" s="66">
        <v>333078.840330603</v>
      </c>
    </row>
    <row r="408" spans="1:25" ht="18.75">
      <c r="A408" s="138">
        <v>3</v>
      </c>
      <c r="B408" s="138"/>
      <c r="C408" s="138" t="s">
        <v>78</v>
      </c>
      <c r="D408" s="137"/>
      <c r="E408" s="136">
        <f>BICHOLIM!D48</f>
        <v>24004.166366367022</v>
      </c>
      <c r="F408" s="136">
        <f>BICHOLIM!E48</f>
        <v>280773.7133768532</v>
      </c>
      <c r="G408" s="136">
        <f>BICHOLIM!F48</f>
        <v>304777.8797432202</v>
      </c>
      <c r="H408" s="136">
        <f>BICHOLIM!G48</f>
        <v>33986.717937787485</v>
      </c>
      <c r="I408" s="136">
        <f>BICHOLIM!H48</f>
        <v>31834.35631458699</v>
      </c>
      <c r="J408" s="136">
        <f>BICHOLIM!I48</f>
        <v>370598.9539955947</v>
      </c>
      <c r="K408" s="136">
        <f>BICHOLIM!J48</f>
        <v>9211.743909631958</v>
      </c>
      <c r="L408" s="136">
        <f>BICHOLIM!K48</f>
        <v>18039.850654904105</v>
      </c>
      <c r="M408" s="136">
        <f>BICHOLIM!L48</f>
        <v>31914.899182035355</v>
      </c>
      <c r="N408" s="136">
        <f>BICHOLIM!M48</f>
        <v>42509.517840147426</v>
      </c>
      <c r="O408" s="136">
        <f>BICHOLIM!N48</f>
        <v>530</v>
      </c>
      <c r="P408" s="136">
        <f>BICHOLIM!O48</f>
        <v>3098</v>
      </c>
      <c r="Q408" s="136">
        <f>BICHOLIM!P48</f>
        <v>6527</v>
      </c>
      <c r="R408" s="136">
        <f>BICHOLIM!R48</f>
        <v>482429.9655823136</v>
      </c>
      <c r="T408" s="66">
        <v>26669.6266429792</v>
      </c>
      <c r="U408" s="66">
        <v>315439.551917768</v>
      </c>
      <c r="V408" s="66">
        <v>342110.178560747</v>
      </c>
      <c r="W408" s="66">
        <v>2136.51446540967</v>
      </c>
      <c r="X408" s="66">
        <v>133859.781442913</v>
      </c>
      <c r="Y408" s="66">
        <v>478107.47446907</v>
      </c>
    </row>
    <row r="409" spans="1:25" ht="18.75">
      <c r="A409" s="143"/>
      <c r="B409" s="143"/>
      <c r="C409" s="143"/>
      <c r="D409" s="147"/>
      <c r="E409" s="143"/>
      <c r="F409" s="143"/>
      <c r="G409" s="143"/>
      <c r="H409" s="143"/>
      <c r="I409" s="143"/>
      <c r="J409" s="143"/>
      <c r="K409" s="143"/>
      <c r="L409" s="143"/>
      <c r="M409" s="143"/>
      <c r="N409" s="143"/>
      <c r="O409" s="143"/>
      <c r="P409" s="143"/>
      <c r="Q409" s="143"/>
      <c r="R409" s="143"/>
      <c r="T409" s="70"/>
      <c r="U409" s="70"/>
      <c r="V409" s="70"/>
      <c r="W409" s="70"/>
      <c r="X409" s="70"/>
      <c r="Y409" s="70"/>
    </row>
    <row r="410" spans="1:25" ht="18.75">
      <c r="A410" s="143">
        <v>16</v>
      </c>
      <c r="B410" s="143"/>
      <c r="C410" s="143" t="s">
        <v>17</v>
      </c>
      <c r="D410" s="144"/>
      <c r="E410" s="145">
        <f aca="true" t="shared" si="19" ref="E410:Q410">E392+E401+E408</f>
        <v>31692.57914541471</v>
      </c>
      <c r="F410" s="145">
        <f t="shared" si="19"/>
        <v>292698.83663021406</v>
      </c>
      <c r="G410" s="145">
        <f t="shared" si="19"/>
        <v>324391.41577562876</v>
      </c>
      <c r="H410" s="145">
        <f t="shared" si="19"/>
        <v>35430.21418076142</v>
      </c>
      <c r="I410" s="145">
        <f t="shared" si="19"/>
        <v>33166.39419966523</v>
      </c>
      <c r="J410" s="145">
        <f t="shared" si="19"/>
        <v>392988.0241560554</v>
      </c>
      <c r="K410" s="145">
        <f t="shared" si="19"/>
        <v>1469116.1267097602</v>
      </c>
      <c r="L410" s="145">
        <f t="shared" si="19"/>
        <v>95140.18069273348</v>
      </c>
      <c r="M410" s="145">
        <f t="shared" si="19"/>
        <v>149668.13051253842</v>
      </c>
      <c r="N410" s="145">
        <f t="shared" si="19"/>
        <v>216335.71647089004</v>
      </c>
      <c r="O410" s="145">
        <f t="shared" si="19"/>
        <v>989.625</v>
      </c>
      <c r="P410" s="145">
        <f t="shared" si="19"/>
        <v>5908</v>
      </c>
      <c r="Q410" s="145">
        <f t="shared" si="19"/>
        <v>12393.5625</v>
      </c>
      <c r="R410" s="145">
        <f>#REF!+R401+R408</f>
        <v>2342539.3660419774</v>
      </c>
      <c r="T410" s="71">
        <v>35027.4260234573</v>
      </c>
      <c r="U410" s="71">
        <v>360571.834826469</v>
      </c>
      <c r="V410" s="71">
        <v>395599.260849927</v>
      </c>
      <c r="W410" s="71">
        <v>360951.045798894</v>
      </c>
      <c r="X410" s="71">
        <v>869136.504193611</v>
      </c>
      <c r="Y410" s="71">
        <v>1625686.81084243</v>
      </c>
    </row>
    <row r="411" spans="1:25" ht="18.75">
      <c r="A411" s="138"/>
      <c r="B411" s="138"/>
      <c r="C411" s="138"/>
      <c r="D411" s="141"/>
      <c r="E411" s="138"/>
      <c r="F411" s="138"/>
      <c r="G411" s="138"/>
      <c r="H411" s="138"/>
      <c r="I411" s="138"/>
      <c r="J411" s="138"/>
      <c r="K411" s="138"/>
      <c r="L411" s="138"/>
      <c r="M411" s="138"/>
      <c r="N411" s="138"/>
      <c r="O411" s="138"/>
      <c r="P411" s="138"/>
      <c r="Q411" s="138"/>
      <c r="R411" s="138"/>
      <c r="T411" s="67"/>
      <c r="U411" s="67"/>
      <c r="V411" s="67"/>
      <c r="W411" s="67"/>
      <c r="X411" s="67"/>
      <c r="Y411" s="67"/>
    </row>
    <row r="412" spans="1:25" ht="18.75">
      <c r="A412" s="138"/>
      <c r="B412" s="138"/>
      <c r="C412" s="143" t="s">
        <v>469</v>
      </c>
      <c r="D412" s="141"/>
      <c r="E412" s="138"/>
      <c r="F412" s="138"/>
      <c r="G412" s="138"/>
      <c r="H412" s="138"/>
      <c r="I412" s="138"/>
      <c r="J412" s="138"/>
      <c r="K412" s="138"/>
      <c r="L412" s="138"/>
      <c r="M412" s="138"/>
      <c r="N412" s="138"/>
      <c r="O412" s="138"/>
      <c r="P412" s="138"/>
      <c r="Q412" s="138"/>
      <c r="R412" s="138"/>
      <c r="T412" s="67"/>
      <c r="U412" s="67"/>
      <c r="V412" s="67"/>
      <c r="W412" s="67"/>
      <c r="X412" s="67"/>
      <c r="Y412" s="67"/>
    </row>
    <row r="413" spans="1:25" ht="18.75">
      <c r="A413" s="138"/>
      <c r="B413" s="138"/>
      <c r="C413" s="138" t="s">
        <v>41</v>
      </c>
      <c r="D413" s="141"/>
      <c r="E413" s="138"/>
      <c r="F413" s="138"/>
      <c r="G413" s="138"/>
      <c r="H413" s="138"/>
      <c r="I413" s="138"/>
      <c r="J413" s="138"/>
      <c r="K413" s="138"/>
      <c r="L413" s="138"/>
      <c r="M413" s="138"/>
      <c r="N413" s="138"/>
      <c r="O413" s="138"/>
      <c r="P413" s="138"/>
      <c r="Q413" s="138"/>
      <c r="R413" s="138"/>
      <c r="T413" s="67"/>
      <c r="U413" s="67"/>
      <c r="V413" s="67"/>
      <c r="W413" s="67"/>
      <c r="X413" s="67"/>
      <c r="Y413" s="67"/>
    </row>
    <row r="414" spans="1:25" ht="18.75">
      <c r="A414" s="138">
        <v>1</v>
      </c>
      <c r="B414" s="138">
        <v>1</v>
      </c>
      <c r="C414" s="138" t="s">
        <v>71</v>
      </c>
      <c r="D414" s="137" t="s">
        <v>507</v>
      </c>
      <c r="E414" s="136">
        <f>'TISWADI '!D145</f>
        <v>0</v>
      </c>
      <c r="F414" s="136">
        <f>'TISWADI '!E145</f>
        <v>0</v>
      </c>
      <c r="G414" s="136">
        <f>'TISWADI '!F145</f>
        <v>0</v>
      </c>
      <c r="H414" s="136">
        <f>'TISWADI '!G145</f>
        <v>0</v>
      </c>
      <c r="I414" s="136">
        <f>'TISWADI '!H145</f>
        <v>0</v>
      </c>
      <c r="J414" s="136">
        <f>'TISWADI '!I145</f>
        <v>0</v>
      </c>
      <c r="K414" s="136">
        <f>'TISWADI '!J145</f>
        <v>26587.395859175194</v>
      </c>
      <c r="L414" s="136">
        <f>'TISWADI '!K145</f>
        <v>13927.125566935172</v>
      </c>
      <c r="M414" s="136">
        <f>'TISWADI '!L145</f>
        <v>21270.519047682807</v>
      </c>
      <c r="N414" s="136">
        <f>'TISWADI '!M145</f>
        <v>31399.33764181748</v>
      </c>
      <c r="O414" s="136">
        <f>'TISWADI '!N145</f>
        <v>44.84</v>
      </c>
      <c r="P414" s="136">
        <f>'TISWADI '!O145</f>
        <v>277.14</v>
      </c>
      <c r="Q414" s="136">
        <f>'TISWADI '!P145</f>
        <v>572.6785714285714</v>
      </c>
      <c r="R414" s="136">
        <f>'TISWADI '!S145</f>
        <v>94079.03668703922</v>
      </c>
      <c r="T414" s="66">
        <v>0</v>
      </c>
      <c r="U414" s="66">
        <v>0</v>
      </c>
      <c r="V414" s="66">
        <v>0</v>
      </c>
      <c r="W414" s="66">
        <v>6166.51487578865</v>
      </c>
      <c r="X414" s="66">
        <v>105787.765045785</v>
      </c>
      <c r="Y414" s="66">
        <v>111955.279921574</v>
      </c>
    </row>
    <row r="415" spans="1:25" ht="18.75">
      <c r="A415" s="138"/>
      <c r="B415" s="138"/>
      <c r="C415" s="138"/>
      <c r="D415" s="141"/>
      <c r="E415" s="138"/>
      <c r="F415" s="138"/>
      <c r="G415" s="138"/>
      <c r="H415" s="138"/>
      <c r="I415" s="138"/>
      <c r="J415" s="138"/>
      <c r="K415" s="138"/>
      <c r="L415" s="138"/>
      <c r="M415" s="138"/>
      <c r="N415" s="138"/>
      <c r="O415" s="138"/>
      <c r="P415" s="138"/>
      <c r="Q415" s="138"/>
      <c r="R415" s="138"/>
      <c r="T415" s="67"/>
      <c r="U415" s="67"/>
      <c r="V415" s="67"/>
      <c r="W415" s="67"/>
      <c r="X415" s="67"/>
      <c r="Y415" s="67"/>
    </row>
    <row r="416" spans="1:25" ht="18.75">
      <c r="A416" s="138"/>
      <c r="B416" s="138"/>
      <c r="C416" s="138" t="s">
        <v>42</v>
      </c>
      <c r="D416" s="141"/>
      <c r="E416" s="138"/>
      <c r="F416" s="138"/>
      <c r="G416" s="138"/>
      <c r="H416" s="138"/>
      <c r="I416" s="138"/>
      <c r="J416" s="138"/>
      <c r="K416" s="138"/>
      <c r="L416" s="138"/>
      <c r="M416" s="138"/>
      <c r="N416" s="138"/>
      <c r="O416" s="138"/>
      <c r="P416" s="138"/>
      <c r="Q416" s="138"/>
      <c r="R416" s="138"/>
      <c r="T416" s="67"/>
      <c r="U416" s="67"/>
      <c r="V416" s="67"/>
      <c r="W416" s="67"/>
      <c r="X416" s="67"/>
      <c r="Y416" s="67"/>
    </row>
    <row r="417" spans="1:25" ht="18.75">
      <c r="A417" s="138">
        <v>1</v>
      </c>
      <c r="B417" s="138">
        <v>2</v>
      </c>
      <c r="C417" s="138" t="s">
        <v>283</v>
      </c>
      <c r="D417" s="137" t="s">
        <v>507</v>
      </c>
      <c r="E417" s="136">
        <f>BARDEZ!D135</f>
        <v>0</v>
      </c>
      <c r="F417" s="136">
        <f>BARDEZ!E135</f>
        <v>7834.5032899969465</v>
      </c>
      <c r="G417" s="136">
        <f>BARDEZ!F135</f>
        <v>7834.5032899969465</v>
      </c>
      <c r="H417" s="136">
        <f>BARDEZ!G135</f>
        <v>948.3403923301364</v>
      </c>
      <c r="I417" s="136">
        <f>BARDEZ!H135</f>
        <v>888.254572619251</v>
      </c>
      <c r="J417" s="136">
        <f>BARDEZ!I135</f>
        <v>9671.098254946333</v>
      </c>
      <c r="K417" s="136">
        <f>BARDEZ!J135</f>
        <v>7772.408923751968</v>
      </c>
      <c r="L417" s="136">
        <f>BARDEZ!K135</f>
        <v>8932.85021785931</v>
      </c>
      <c r="M417" s="136">
        <f>BARDEZ!L135</f>
        <v>13642.898514548764</v>
      </c>
      <c r="N417" s="136">
        <f>BARDEZ!M135</f>
        <v>20139.516854810077</v>
      </c>
      <c r="O417" s="136">
        <f>BARDEZ!N135</f>
        <v>39.2375</v>
      </c>
      <c r="P417" s="136">
        <f>BARDEZ!O135</f>
        <v>240</v>
      </c>
      <c r="Q417" s="136">
        <f>BARDEZ!P135</f>
        <v>501.09375</v>
      </c>
      <c r="R417" s="136">
        <f>BARDEZ!R135</f>
        <v>60939.104015916455</v>
      </c>
      <c r="T417" s="66">
        <v>0</v>
      </c>
      <c r="U417" s="66">
        <v>8801.79336438782</v>
      </c>
      <c r="V417" s="66">
        <v>8801.79336438782</v>
      </c>
      <c r="W417" s="66">
        <v>1802.68408018941</v>
      </c>
      <c r="X417" s="66">
        <v>67852.2108165386</v>
      </c>
      <c r="Y417" s="66">
        <v>78456.6882611159</v>
      </c>
    </row>
    <row r="418" spans="1:25" ht="18.75">
      <c r="A418" s="138"/>
      <c r="B418" s="138"/>
      <c r="C418" s="138"/>
      <c r="D418" s="141"/>
      <c r="E418" s="138"/>
      <c r="F418" s="138"/>
      <c r="G418" s="138"/>
      <c r="H418" s="138"/>
      <c r="I418" s="138"/>
      <c r="J418" s="138"/>
      <c r="K418" s="138"/>
      <c r="L418" s="138"/>
      <c r="M418" s="138"/>
      <c r="N418" s="138"/>
      <c r="O418" s="138"/>
      <c r="P418" s="138"/>
      <c r="Q418" s="138"/>
      <c r="R418" s="138"/>
      <c r="T418" s="67"/>
      <c r="U418" s="67"/>
      <c r="V418" s="67"/>
      <c r="W418" s="67"/>
      <c r="X418" s="67"/>
      <c r="Y418" s="67"/>
    </row>
    <row r="419" spans="1:25" ht="18.75">
      <c r="A419" s="138"/>
      <c r="B419" s="138"/>
      <c r="C419" s="138"/>
      <c r="D419" s="141"/>
      <c r="E419" s="138"/>
      <c r="F419" s="138"/>
      <c r="G419" s="138"/>
      <c r="H419" s="138"/>
      <c r="I419" s="138"/>
      <c r="J419" s="138"/>
      <c r="K419" s="138"/>
      <c r="L419" s="138"/>
      <c r="M419" s="138"/>
      <c r="N419" s="138"/>
      <c r="O419" s="138"/>
      <c r="P419" s="138"/>
      <c r="Q419" s="138"/>
      <c r="R419" s="138"/>
      <c r="T419" s="67"/>
      <c r="U419" s="67"/>
      <c r="V419" s="67"/>
      <c r="W419" s="67"/>
      <c r="X419" s="67"/>
      <c r="Y419" s="67"/>
    </row>
    <row r="420" spans="1:25" ht="18.75">
      <c r="A420" s="145">
        <v>5</v>
      </c>
      <c r="B420" s="143"/>
      <c r="C420" s="143" t="s">
        <v>17</v>
      </c>
      <c r="D420" s="144"/>
      <c r="E420" s="145">
        <f aca="true" t="shared" si="20" ref="E420:R420">E414+E417</f>
        <v>0</v>
      </c>
      <c r="F420" s="145">
        <f t="shared" si="20"/>
        <v>7834.5032899969465</v>
      </c>
      <c r="G420" s="145">
        <f t="shared" si="20"/>
        <v>7834.5032899969465</v>
      </c>
      <c r="H420" s="145">
        <f t="shared" si="20"/>
        <v>948.3403923301364</v>
      </c>
      <c r="I420" s="145">
        <f t="shared" si="20"/>
        <v>888.254572619251</v>
      </c>
      <c r="J420" s="145">
        <f t="shared" si="20"/>
        <v>9671.098254946333</v>
      </c>
      <c r="K420" s="145">
        <f t="shared" si="20"/>
        <v>34359.80478292716</v>
      </c>
      <c r="L420" s="145">
        <f t="shared" si="20"/>
        <v>22859.975784794482</v>
      </c>
      <c r="M420" s="145">
        <f t="shared" si="20"/>
        <v>34913.41756223157</v>
      </c>
      <c r="N420" s="145">
        <f t="shared" si="20"/>
        <v>51538.85449662756</v>
      </c>
      <c r="O420" s="145">
        <f t="shared" si="20"/>
        <v>84.0775</v>
      </c>
      <c r="P420" s="145">
        <f t="shared" si="20"/>
        <v>517.14</v>
      </c>
      <c r="Q420" s="145">
        <f t="shared" si="20"/>
        <v>1073.7723214285716</v>
      </c>
      <c r="R420" s="145">
        <f t="shared" si="20"/>
        <v>155018.14070295566</v>
      </c>
      <c r="T420" s="71">
        <v>41437.5764851414</v>
      </c>
      <c r="U420" s="71">
        <v>43347.1899954706</v>
      </c>
      <c r="V420" s="71">
        <v>84784.7664806121</v>
      </c>
      <c r="W420" s="71">
        <v>9394.98704009812</v>
      </c>
      <c r="X420" s="71">
        <v>260305.754223448</v>
      </c>
      <c r="Y420" s="71">
        <v>354485.507744158</v>
      </c>
    </row>
    <row r="421" spans="1:25" ht="18.75">
      <c r="A421" s="138"/>
      <c r="B421" s="138"/>
      <c r="C421" s="138"/>
      <c r="D421" s="141"/>
      <c r="E421" s="138"/>
      <c r="F421" s="138"/>
      <c r="G421" s="138"/>
      <c r="H421" s="138"/>
      <c r="I421" s="138"/>
      <c r="J421" s="138"/>
      <c r="K421" s="138"/>
      <c r="L421" s="138"/>
      <c r="M421" s="138"/>
      <c r="N421" s="138"/>
      <c r="O421" s="138"/>
      <c r="P421" s="138"/>
      <c r="Q421" s="138"/>
      <c r="R421" s="138"/>
      <c r="T421" s="67"/>
      <c r="U421" s="67"/>
      <c r="V421" s="67"/>
      <c r="W421" s="67"/>
      <c r="X421" s="67"/>
      <c r="Y421" s="67"/>
    </row>
    <row r="422" spans="1:25" ht="18.75">
      <c r="A422" s="138"/>
      <c r="B422" s="138"/>
      <c r="C422" s="143" t="s">
        <v>470</v>
      </c>
      <c r="D422" s="141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T422" s="67"/>
      <c r="U422" s="67"/>
      <c r="V422" s="67"/>
      <c r="W422" s="67"/>
      <c r="X422" s="67"/>
      <c r="Y422" s="67"/>
    </row>
    <row r="423" spans="1:25" ht="18.75">
      <c r="A423" s="138"/>
      <c r="B423" s="138"/>
      <c r="C423" s="138" t="s">
        <v>41</v>
      </c>
      <c r="D423" s="141"/>
      <c r="E423" s="138"/>
      <c r="F423" s="138"/>
      <c r="G423" s="138"/>
      <c r="H423" s="138"/>
      <c r="I423" s="138"/>
      <c r="J423" s="138"/>
      <c r="K423" s="138"/>
      <c r="L423" s="138"/>
      <c r="M423" s="138"/>
      <c r="N423" s="138"/>
      <c r="O423" s="138"/>
      <c r="P423" s="138"/>
      <c r="Q423" s="138"/>
      <c r="R423" s="138"/>
      <c r="T423" s="67"/>
      <c r="U423" s="67"/>
      <c r="V423" s="67"/>
      <c r="W423" s="67"/>
      <c r="X423" s="67"/>
      <c r="Y423" s="67"/>
    </row>
    <row r="424" spans="1:25" ht="18.75">
      <c r="A424" s="138"/>
      <c r="B424" s="138">
        <v>1</v>
      </c>
      <c r="C424" s="138" t="s">
        <v>71</v>
      </c>
      <c r="D424" s="137" t="s">
        <v>507</v>
      </c>
      <c r="E424" s="136">
        <f>'TISWADI '!D148</f>
        <v>48.38384406861548</v>
      </c>
      <c r="F424" s="136">
        <f>'TISWADI '!E148</f>
        <v>692.1355653463318</v>
      </c>
      <c r="G424" s="136">
        <f>'TISWADI '!F148</f>
        <v>740.5194094149473</v>
      </c>
      <c r="H424" s="136">
        <f>'TISWADI '!G148</f>
        <v>83.78069282633959</v>
      </c>
      <c r="I424" s="136">
        <f>'TISWADI '!H148</f>
        <v>78.47243890704004</v>
      </c>
      <c r="J424" s="136">
        <f>'TISWADI '!I148</f>
        <v>902.7725411483268</v>
      </c>
      <c r="K424" s="136">
        <f>'TISWADI '!J148</f>
        <v>10639.564215624872</v>
      </c>
      <c r="L424" s="136">
        <f>'TISWADI '!K148</f>
        <v>6028.56254430814</v>
      </c>
      <c r="M424" s="136">
        <f>'TISWADI '!L148</f>
        <v>9207.259158579704</v>
      </c>
      <c r="N424" s="136">
        <f>'TISWADI '!M148</f>
        <v>13591.668281712895</v>
      </c>
      <c r="O424" s="136">
        <f>'TISWADI '!N148</f>
        <v>44.84</v>
      </c>
      <c r="P424" s="136">
        <f>'TISWADI '!O148</f>
        <v>277.14</v>
      </c>
      <c r="Q424" s="136">
        <f>'TISWADI '!P148</f>
        <v>572.6785714285714</v>
      </c>
      <c r="R424" s="136">
        <f>'TISWADI '!S148</f>
        <v>41264.485312802506</v>
      </c>
      <c r="T424" s="66">
        <v>54.35757468</v>
      </c>
      <c r="U424" s="66">
        <v>777.590359059576</v>
      </c>
      <c r="V424" s="66">
        <v>831.947933739576</v>
      </c>
      <c r="W424" s="66">
        <v>2467.67420754816</v>
      </c>
      <c r="X424" s="66">
        <v>45791.8006796167</v>
      </c>
      <c r="Y424" s="66">
        <v>49092.4228209044</v>
      </c>
    </row>
    <row r="425" spans="1:25" ht="18.75">
      <c r="A425" s="138"/>
      <c r="B425" s="138">
        <v>2</v>
      </c>
      <c r="C425" s="138" t="s">
        <v>143</v>
      </c>
      <c r="D425" s="137" t="s">
        <v>507</v>
      </c>
      <c r="E425" s="136">
        <f>'TISWADI '!D149</f>
        <v>0</v>
      </c>
      <c r="F425" s="136">
        <f>'TISWADI '!E149</f>
        <v>35.9434299064368</v>
      </c>
      <c r="G425" s="136">
        <f>'TISWADI '!F149</f>
        <v>35.9434299064368</v>
      </c>
      <c r="H425" s="136">
        <f>'TISWADI '!G149</f>
        <v>4.350831846950991</v>
      </c>
      <c r="I425" s="136">
        <f>'TISWADI '!H149</f>
        <v>14.075167855347786</v>
      </c>
      <c r="J425" s="136">
        <f>'TISWADI '!I149</f>
        <v>54.36942960873557</v>
      </c>
      <c r="K425" s="136">
        <f>'TISWADI '!J149</f>
        <v>0</v>
      </c>
      <c r="L425" s="136">
        <f>'TISWADI '!K149</f>
        <v>3949.5471600825026</v>
      </c>
      <c r="M425" s="136">
        <f>'TISWADI '!L149</f>
        <v>6032.035662671458</v>
      </c>
      <c r="N425" s="136">
        <f>'TISWADI '!M149</f>
        <v>8904.433597276915</v>
      </c>
      <c r="O425" s="136">
        <f>'TISWADI '!N149</f>
        <v>44.84</v>
      </c>
      <c r="P425" s="136">
        <f>'TISWADI '!O149</f>
        <v>277.14</v>
      </c>
      <c r="Q425" s="136">
        <f>'TISWADI '!P149</f>
        <v>572.6785714285714</v>
      </c>
      <c r="R425" s="136">
        <f>'TISWADI '!S149</f>
        <v>19835.044421068185</v>
      </c>
      <c r="T425" s="66">
        <v>0</v>
      </c>
      <c r="U425" s="66">
        <v>40.38119982</v>
      </c>
      <c r="V425" s="66">
        <v>40.38119982</v>
      </c>
      <c r="W425" s="66">
        <v>0</v>
      </c>
      <c r="X425" s="66">
        <v>30000</v>
      </c>
      <c r="Y425" s="66">
        <v>30040.38119982</v>
      </c>
    </row>
    <row r="426" spans="1:25" ht="18.75">
      <c r="A426" s="138">
        <v>2</v>
      </c>
      <c r="B426" s="138"/>
      <c r="C426" s="138" t="s">
        <v>17</v>
      </c>
      <c r="D426" s="137"/>
      <c r="E426" s="136">
        <f>'TISWADI '!D150</f>
        <v>48.38384406861548</v>
      </c>
      <c r="F426" s="136">
        <f>'TISWADI '!E150</f>
        <v>728.0789952527686</v>
      </c>
      <c r="G426" s="136">
        <f>'TISWADI '!F150</f>
        <v>776.4628393213841</v>
      </c>
      <c r="H426" s="136">
        <f>'TISWADI '!G150</f>
        <v>88.13152467329058</v>
      </c>
      <c r="I426" s="136">
        <f>'TISWADI '!H150</f>
        <v>92.54760676238783</v>
      </c>
      <c r="J426" s="136">
        <f>'TISWADI '!I150</f>
        <v>957.1419707570626</v>
      </c>
      <c r="K426" s="136">
        <f>'TISWADI '!J150</f>
        <v>10639.564215624872</v>
      </c>
      <c r="L426" s="136">
        <f>'TISWADI '!K150</f>
        <v>9978.109704390643</v>
      </c>
      <c r="M426" s="136">
        <f>'TISWADI '!L150</f>
        <v>15239.294821251162</v>
      </c>
      <c r="N426" s="136">
        <f>'TISWADI '!M150</f>
        <v>22496.101878989808</v>
      </c>
      <c r="O426" s="136">
        <f>'TISWADI '!N150</f>
        <v>89.68</v>
      </c>
      <c r="P426" s="136">
        <f>'TISWADI '!O150</f>
        <v>554.28</v>
      </c>
      <c r="Q426" s="136">
        <f>'TISWADI '!P150</f>
        <v>1145.357142857143</v>
      </c>
      <c r="R426" s="136">
        <f>'TISWADI '!S150</f>
        <v>61099.52973387069</v>
      </c>
      <c r="T426" s="66">
        <v>54.35757468</v>
      </c>
      <c r="U426" s="66">
        <v>817.971558879576</v>
      </c>
      <c r="V426" s="66">
        <v>872.329133559576</v>
      </c>
      <c r="W426" s="66">
        <v>2467.67420754816</v>
      </c>
      <c r="X426" s="66">
        <v>75791.8006796167</v>
      </c>
      <c r="Y426" s="66">
        <v>79131.8040207244</v>
      </c>
    </row>
    <row r="427" spans="1:25" ht="18.75">
      <c r="A427" s="138"/>
      <c r="B427" s="138"/>
      <c r="C427" s="138"/>
      <c r="D427" s="141"/>
      <c r="E427" s="138"/>
      <c r="F427" s="138"/>
      <c r="G427" s="138"/>
      <c r="H427" s="138"/>
      <c r="I427" s="138"/>
      <c r="J427" s="138"/>
      <c r="K427" s="138"/>
      <c r="L427" s="138"/>
      <c r="M427" s="138"/>
      <c r="N427" s="138"/>
      <c r="O427" s="138"/>
      <c r="P427" s="138"/>
      <c r="Q427" s="138"/>
      <c r="R427" s="138"/>
      <c r="T427" s="67"/>
      <c r="U427" s="67"/>
      <c r="V427" s="67"/>
      <c r="W427" s="67"/>
      <c r="X427" s="67"/>
      <c r="Y427" s="67"/>
    </row>
    <row r="428" spans="1:25" ht="18.75">
      <c r="A428" s="138"/>
      <c r="B428" s="138"/>
      <c r="C428" s="138" t="s">
        <v>42</v>
      </c>
      <c r="D428" s="141"/>
      <c r="E428" s="138"/>
      <c r="F428" s="138"/>
      <c r="G428" s="138"/>
      <c r="H428" s="138"/>
      <c r="I428" s="138"/>
      <c r="J428" s="138"/>
      <c r="K428" s="138"/>
      <c r="L428" s="138"/>
      <c r="M428" s="138"/>
      <c r="N428" s="138"/>
      <c r="O428" s="138"/>
      <c r="P428" s="138"/>
      <c r="Q428" s="138"/>
      <c r="R428" s="138"/>
      <c r="T428" s="67"/>
      <c r="U428" s="67"/>
      <c r="V428" s="67"/>
      <c r="W428" s="67"/>
      <c r="X428" s="67"/>
      <c r="Y428" s="67"/>
    </row>
    <row r="429" spans="1:25" ht="18.75">
      <c r="A429" s="138"/>
      <c r="B429" s="138">
        <v>3</v>
      </c>
      <c r="C429" s="138" t="s">
        <v>291</v>
      </c>
      <c r="D429" s="137" t="s">
        <v>507</v>
      </c>
      <c r="E429" s="136">
        <f>BARDEZ!D138</f>
        <v>0</v>
      </c>
      <c r="F429" s="136">
        <f>BARDEZ!E138</f>
        <v>8235.04072083453</v>
      </c>
      <c r="G429" s="136">
        <f>BARDEZ!F138</f>
        <v>8235.04072083453</v>
      </c>
      <c r="H429" s="136">
        <f>BARDEZ!G138</f>
        <v>996.8241072822258</v>
      </c>
      <c r="I429" s="136">
        <f>BARDEZ!H138</f>
        <v>933.6664119251209</v>
      </c>
      <c r="J429" s="136">
        <f>BARDEZ!I138</f>
        <v>10165.531240041877</v>
      </c>
      <c r="K429" s="136">
        <f>BARDEZ!J138</f>
        <v>10363.211898335914</v>
      </c>
      <c r="L429" s="136">
        <f>BARDEZ!K138</f>
        <v>10518.334455661192</v>
      </c>
      <c r="M429" s="136">
        <f>BARDEZ!L138</f>
        <v>16064.365350464366</v>
      </c>
      <c r="N429" s="136">
        <f>BARDEZ!M138</f>
        <v>23714.063136399778</v>
      </c>
      <c r="O429" s="136">
        <f>BARDEZ!N138</f>
        <v>39.2375</v>
      </c>
      <c r="P429" s="136">
        <f>BARDEZ!O138</f>
        <v>240</v>
      </c>
      <c r="Q429" s="136">
        <f>BARDEZ!P138</f>
        <v>501.09375</v>
      </c>
      <c r="R429" s="136">
        <f>BARDEZ!R138</f>
        <v>71605.83733090313</v>
      </c>
      <c r="T429" s="66">
        <v>0</v>
      </c>
      <c r="U429" s="66">
        <v>9251.78330892412</v>
      </c>
      <c r="V429" s="66">
        <v>9251.78330892412</v>
      </c>
      <c r="W429" s="66">
        <v>2403.57877358587</v>
      </c>
      <c r="X429" s="66">
        <v>79895.2439051884</v>
      </c>
      <c r="Y429" s="66">
        <v>91550.6059876984</v>
      </c>
    </row>
    <row r="430" spans="1:25" ht="18.75">
      <c r="A430" s="138"/>
      <c r="B430" s="138"/>
      <c r="C430" s="138" t="s">
        <v>292</v>
      </c>
      <c r="D430" s="137" t="s">
        <v>507</v>
      </c>
      <c r="E430" s="136">
        <f>BARDEZ!D139</f>
        <v>0</v>
      </c>
      <c r="F430" s="136">
        <f>BARDEZ!E139</f>
        <v>0</v>
      </c>
      <c r="G430" s="136">
        <f>BARDEZ!F139</f>
        <v>0</v>
      </c>
      <c r="H430" s="136">
        <f>BARDEZ!G139</f>
        <v>0</v>
      </c>
      <c r="I430" s="136">
        <f>BARDEZ!H139</f>
        <v>0</v>
      </c>
      <c r="J430" s="136">
        <f>BARDEZ!I139</f>
        <v>0</v>
      </c>
      <c r="K430" s="136">
        <f>BARDEZ!J139</f>
        <v>522.8832764606358</v>
      </c>
      <c r="L430" s="136">
        <f>BARDEZ!K139</f>
        <v>399.62975811919983</v>
      </c>
      <c r="M430" s="136">
        <f>BARDEZ!L139</f>
        <v>610.3436305820507</v>
      </c>
      <c r="N430" s="136">
        <f>BARDEZ!M139</f>
        <v>900.9834546687415</v>
      </c>
      <c r="O430" s="136">
        <f>BARDEZ!N139</f>
        <v>39.2375</v>
      </c>
      <c r="P430" s="136">
        <f>BARDEZ!O139</f>
        <v>240</v>
      </c>
      <c r="Q430" s="136">
        <f>BARDEZ!P139</f>
        <v>501.09375</v>
      </c>
      <c r="R430" s="136">
        <f>BARDEZ!R139</f>
        <v>3214.171369830628</v>
      </c>
      <c r="T430" s="66">
        <v>0</v>
      </c>
      <c r="U430" s="66">
        <v>0</v>
      </c>
      <c r="V430" s="66">
        <v>0</v>
      </c>
      <c r="W430" s="66">
        <v>121.274288</v>
      </c>
      <c r="X430" s="66">
        <v>3035.51072</v>
      </c>
      <c r="Y430" s="66">
        <v>3156.785008</v>
      </c>
    </row>
    <row r="431" spans="1:25" ht="18.75">
      <c r="A431" s="138"/>
      <c r="B431" s="138">
        <v>4</v>
      </c>
      <c r="C431" s="138" t="s">
        <v>293</v>
      </c>
      <c r="D431" s="137" t="s">
        <v>508</v>
      </c>
      <c r="E431" s="136">
        <f>BARDEZ!D140</f>
        <v>132.40732337319898</v>
      </c>
      <c r="F431" s="136">
        <f>BARDEZ!E140</f>
        <v>3605.771401336835</v>
      </c>
      <c r="G431" s="136">
        <f>BARDEZ!F140</f>
        <v>3738.1787247100337</v>
      </c>
      <c r="H431" s="136">
        <f>BARDEZ!G140</f>
        <v>436.46655554571765</v>
      </c>
      <c r="I431" s="136">
        <f>BARDEZ!H140</f>
        <v>408.8125075072138</v>
      </c>
      <c r="J431" s="136">
        <f>BARDEZ!I140</f>
        <v>4583.457787762965</v>
      </c>
      <c r="K431" s="136">
        <f>BARDEZ!J140</f>
        <v>15349.068289424236</v>
      </c>
      <c r="L431" s="136">
        <f>BARDEZ!K140</f>
        <v>5213.92292153234</v>
      </c>
      <c r="M431" s="136">
        <f>BARDEZ!L140</f>
        <v>7963.082280158484</v>
      </c>
      <c r="N431" s="136">
        <f>BARDEZ!M140</f>
        <v>11755.026223091094</v>
      </c>
      <c r="O431" s="136">
        <f>BARDEZ!N140</f>
        <v>39.2375</v>
      </c>
      <c r="P431" s="136">
        <f>BARDEZ!O140</f>
        <v>240</v>
      </c>
      <c r="Q431" s="136">
        <f>BARDEZ!P140</f>
        <v>501.09375</v>
      </c>
      <c r="R431" s="136">
        <f>BARDEZ!R140</f>
        <v>45644.88875196913</v>
      </c>
      <c r="T431" s="66">
        <v>147.110040201487</v>
      </c>
      <c r="U431" s="66">
        <v>4050.95940597892</v>
      </c>
      <c r="V431" s="66">
        <v>4198.06944618041</v>
      </c>
      <c r="W431" s="66">
        <v>3559.96722798886</v>
      </c>
      <c r="X431" s="66">
        <v>39603.9549107961</v>
      </c>
      <c r="Y431" s="66">
        <v>47361.9915849653</v>
      </c>
    </row>
    <row r="432" spans="1:25" ht="18.75">
      <c r="A432" s="138"/>
      <c r="B432" s="138">
        <v>5</v>
      </c>
      <c r="C432" s="138" t="s">
        <v>294</v>
      </c>
      <c r="D432" s="137" t="s">
        <v>507</v>
      </c>
      <c r="E432" s="136">
        <f>BARDEZ!D141</f>
        <v>0</v>
      </c>
      <c r="F432" s="136">
        <f>BARDEZ!E141</f>
        <v>0</v>
      </c>
      <c r="G432" s="136">
        <f>BARDEZ!F141</f>
        <v>0</v>
      </c>
      <c r="H432" s="136">
        <f>BARDEZ!G141</f>
        <v>0</v>
      </c>
      <c r="I432" s="136">
        <f>BARDEZ!H141</f>
        <v>0</v>
      </c>
      <c r="J432" s="136">
        <f>BARDEZ!I141</f>
        <v>0</v>
      </c>
      <c r="K432" s="136">
        <f>BARDEZ!J141</f>
        <v>522.8832764606358</v>
      </c>
      <c r="L432" s="136">
        <f>BARDEZ!K141</f>
        <v>399.62975811919983</v>
      </c>
      <c r="M432" s="136">
        <f>BARDEZ!L141</f>
        <v>610.3436305820507</v>
      </c>
      <c r="N432" s="136">
        <f>BARDEZ!M141</f>
        <v>900.9834546687415</v>
      </c>
      <c r="O432" s="136">
        <f>BARDEZ!N141</f>
        <v>39.2375</v>
      </c>
      <c r="P432" s="136">
        <f>BARDEZ!O141</f>
        <v>240</v>
      </c>
      <c r="Q432" s="136">
        <f>BARDEZ!P141</f>
        <v>501.09375</v>
      </c>
      <c r="R432" s="136">
        <f>BARDEZ!R141</f>
        <v>3214.171369830628</v>
      </c>
      <c r="T432" s="66">
        <v>0</v>
      </c>
      <c r="U432" s="66">
        <v>0</v>
      </c>
      <c r="V432" s="66">
        <v>0</v>
      </c>
      <c r="W432" s="66">
        <v>121.274288</v>
      </c>
      <c r="X432" s="66">
        <v>3035.51072</v>
      </c>
      <c r="Y432" s="66">
        <v>3156.785008</v>
      </c>
    </row>
    <row r="433" spans="1:25" ht="18.75">
      <c r="A433" s="138"/>
      <c r="B433" s="138">
        <v>6</v>
      </c>
      <c r="C433" s="138" t="s">
        <v>295</v>
      </c>
      <c r="D433" s="137" t="s">
        <v>508</v>
      </c>
      <c r="E433" s="136">
        <f>BARDEZ!D142</f>
        <v>854.2407959561235</v>
      </c>
      <c r="F433" s="136">
        <f>BARDEZ!E142</f>
        <v>1862.687782093528</v>
      </c>
      <c r="G433" s="136">
        <f>BARDEZ!F142</f>
        <v>2716.9285780496516</v>
      </c>
      <c r="H433" s="136">
        <f>BARDEZ!G142</f>
        <v>225.4721195043134</v>
      </c>
      <c r="I433" s="136">
        <f>BARDEZ!H142</f>
        <v>211.18645031639676</v>
      </c>
      <c r="J433" s="136">
        <f>BARDEZ!I142</f>
        <v>3153.5871478703616</v>
      </c>
      <c r="K433" s="136">
        <f>BARDEZ!J142</f>
        <v>2355.7866952993472</v>
      </c>
      <c r="L433" s="136">
        <f>BARDEZ!K142</f>
        <v>2561.247915551469</v>
      </c>
      <c r="M433" s="136">
        <f>BARDEZ!L142</f>
        <v>3911.72408920588</v>
      </c>
      <c r="N433" s="136">
        <f>BARDEZ!M142</f>
        <v>5774.449845970584</v>
      </c>
      <c r="O433" s="136">
        <f>BARDEZ!N142</f>
        <v>39.2375</v>
      </c>
      <c r="P433" s="136">
        <f>BARDEZ!O142</f>
        <v>240</v>
      </c>
      <c r="Q433" s="136">
        <f>BARDEZ!P142</f>
        <v>501.09375</v>
      </c>
      <c r="R433" s="136">
        <f>BARDEZ!R142</f>
        <v>18537.12694389764</v>
      </c>
      <c r="T433" s="66">
        <v>949.097033557982</v>
      </c>
      <c r="U433" s="66">
        <v>2092.66527225665</v>
      </c>
      <c r="V433" s="66">
        <v>3041.76230581463</v>
      </c>
      <c r="W433" s="66">
        <v>546.386482440521</v>
      </c>
      <c r="X433" s="66">
        <v>19454.746165112</v>
      </c>
      <c r="Y433" s="66">
        <v>23042.8949533671</v>
      </c>
    </row>
    <row r="434" spans="1:25" ht="18.75">
      <c r="A434" s="138"/>
      <c r="B434" s="138">
        <v>7</v>
      </c>
      <c r="C434" s="138" t="s">
        <v>517</v>
      </c>
      <c r="D434" s="137" t="s">
        <v>508</v>
      </c>
      <c r="E434" s="136">
        <f>BARDEZ!D143</f>
        <v>0</v>
      </c>
      <c r="F434" s="136">
        <f>BARDEZ!E143</f>
        <v>0</v>
      </c>
      <c r="G434" s="136">
        <f>BARDEZ!F143</f>
        <v>0</v>
      </c>
      <c r="H434" s="136">
        <f>BARDEZ!G143</f>
        <v>0</v>
      </c>
      <c r="I434" s="136">
        <f>BARDEZ!H143</f>
        <v>0</v>
      </c>
      <c r="J434" s="136">
        <f>BARDEZ!I143</f>
        <v>0</v>
      </c>
      <c r="K434" s="136">
        <f>BARDEZ!J143</f>
        <v>522.8832764606358</v>
      </c>
      <c r="L434" s="136">
        <f>BARDEZ!K143</f>
        <v>199.81487905959992</v>
      </c>
      <c r="M434" s="136">
        <f>BARDEZ!L143</f>
        <v>305.1718152910253</v>
      </c>
      <c r="N434" s="136">
        <f>BARDEZ!M143</f>
        <v>450.49172733437075</v>
      </c>
      <c r="O434" s="136">
        <f>BARDEZ!N143</f>
        <v>39.2375</v>
      </c>
      <c r="P434" s="136">
        <f>BARDEZ!O143</f>
        <v>240</v>
      </c>
      <c r="Q434" s="136">
        <f>BARDEZ!P143</f>
        <v>501.09375</v>
      </c>
      <c r="R434" s="136">
        <f>BARDEZ!R143</f>
        <v>2258.692948145632</v>
      </c>
      <c r="T434" s="66">
        <v>0</v>
      </c>
      <c r="U434" s="66">
        <v>0</v>
      </c>
      <c r="V434" s="66">
        <v>0</v>
      </c>
      <c r="W434" s="66">
        <v>121.274288</v>
      </c>
      <c r="X434" s="66">
        <v>1517.75536</v>
      </c>
      <c r="Y434" s="66">
        <v>1639.029648</v>
      </c>
    </row>
    <row r="435" spans="1:25" ht="18.75">
      <c r="A435" s="138">
        <v>5</v>
      </c>
      <c r="B435" s="138"/>
      <c r="C435" s="138" t="s">
        <v>78</v>
      </c>
      <c r="D435" s="137"/>
      <c r="E435" s="136">
        <f>BARDEZ!D144</f>
        <v>986.6481193293225</v>
      </c>
      <c r="F435" s="136">
        <f>BARDEZ!E144</f>
        <v>13703.499904264892</v>
      </c>
      <c r="G435" s="136">
        <f>BARDEZ!F144</f>
        <v>14690.148023594214</v>
      </c>
      <c r="H435" s="136">
        <f>BARDEZ!G144</f>
        <v>1658.7627823322568</v>
      </c>
      <c r="I435" s="136">
        <f>BARDEZ!H144</f>
        <v>1553.6653697487313</v>
      </c>
      <c r="J435" s="136">
        <f>BARDEZ!I144</f>
        <v>17902.576175675204</v>
      </c>
      <c r="K435" s="136">
        <f>BARDEZ!J144</f>
        <v>29636.7167124414</v>
      </c>
      <c r="L435" s="136">
        <f>BARDEZ!K144</f>
        <v>19292.579688043003</v>
      </c>
      <c r="M435" s="136">
        <f>BARDEZ!L144</f>
        <v>29465.030796283856</v>
      </c>
      <c r="N435" s="136">
        <f>BARDEZ!M144</f>
        <v>43495.99784213331</v>
      </c>
      <c r="O435" s="136">
        <f>BARDEZ!N144</f>
        <v>235.425</v>
      </c>
      <c r="P435" s="136">
        <f>BARDEZ!O144</f>
        <v>1440</v>
      </c>
      <c r="Q435" s="136">
        <f>BARDEZ!P144</f>
        <v>3006.5625</v>
      </c>
      <c r="R435" s="136">
        <f>BARDEZ!R144</f>
        <v>144474.88871457678</v>
      </c>
      <c r="T435" s="66">
        <v>1096.20707375947</v>
      </c>
      <c r="U435" s="66">
        <v>15396.4079871597</v>
      </c>
      <c r="V435" s="66">
        <v>16491.6150609192</v>
      </c>
      <c r="W435" s="66">
        <v>6872.75534801525</v>
      </c>
      <c r="X435" s="66">
        <v>146543.721781096</v>
      </c>
      <c r="Y435" s="66">
        <v>169909.092190031</v>
      </c>
    </row>
    <row r="436" spans="1:25" ht="18.75">
      <c r="A436" s="138"/>
      <c r="B436" s="138"/>
      <c r="C436" s="138"/>
      <c r="D436" s="141"/>
      <c r="E436" s="138"/>
      <c r="F436" s="138"/>
      <c r="G436" s="138"/>
      <c r="H436" s="138"/>
      <c r="I436" s="138"/>
      <c r="J436" s="138"/>
      <c r="K436" s="138"/>
      <c r="L436" s="138"/>
      <c r="M436" s="138"/>
      <c r="N436" s="138"/>
      <c r="O436" s="138"/>
      <c r="P436" s="138"/>
      <c r="Q436" s="138"/>
      <c r="R436" s="138"/>
      <c r="T436" s="67"/>
      <c r="U436" s="67"/>
      <c r="V436" s="67"/>
      <c r="W436" s="67"/>
      <c r="X436" s="67"/>
      <c r="Y436" s="67"/>
    </row>
    <row r="437" spans="1:25" ht="18.75">
      <c r="A437" s="138"/>
      <c r="B437" s="138"/>
      <c r="C437" s="138"/>
      <c r="D437" s="141"/>
      <c r="E437" s="138"/>
      <c r="F437" s="138"/>
      <c r="G437" s="138"/>
      <c r="H437" s="138"/>
      <c r="I437" s="138"/>
      <c r="J437" s="138"/>
      <c r="K437" s="138"/>
      <c r="L437" s="138"/>
      <c r="M437" s="138"/>
      <c r="N437" s="138"/>
      <c r="O437" s="138"/>
      <c r="P437" s="138"/>
      <c r="Q437" s="138"/>
      <c r="R437" s="138"/>
      <c r="T437" s="67"/>
      <c r="U437" s="67"/>
      <c r="V437" s="67"/>
      <c r="W437" s="67"/>
      <c r="X437" s="67"/>
      <c r="Y437" s="67"/>
    </row>
    <row r="438" spans="1:25" ht="18.75">
      <c r="A438" s="145">
        <v>9</v>
      </c>
      <c r="B438" s="143"/>
      <c r="C438" s="143" t="s">
        <v>17</v>
      </c>
      <c r="D438" s="144"/>
      <c r="E438" s="145">
        <f aca="true" t="shared" si="21" ref="E438:R438">E426+E435</f>
        <v>1035.031963397938</v>
      </c>
      <c r="F438" s="145">
        <f t="shared" si="21"/>
        <v>14431.57889951766</v>
      </c>
      <c r="G438" s="145">
        <f t="shared" si="21"/>
        <v>15466.610862915599</v>
      </c>
      <c r="H438" s="145">
        <f t="shared" si="21"/>
        <v>1746.8943070055475</v>
      </c>
      <c r="I438" s="145">
        <f t="shared" si="21"/>
        <v>1646.2129765111192</v>
      </c>
      <c r="J438" s="145">
        <f t="shared" si="21"/>
        <v>18859.718146432268</v>
      </c>
      <c r="K438" s="145">
        <f t="shared" si="21"/>
        <v>40276.28092806628</v>
      </c>
      <c r="L438" s="145">
        <f t="shared" si="21"/>
        <v>29270.689392433647</v>
      </c>
      <c r="M438" s="145">
        <f t="shared" si="21"/>
        <v>44704.32561753502</v>
      </c>
      <c r="N438" s="145">
        <f t="shared" si="21"/>
        <v>65992.09972112312</v>
      </c>
      <c r="O438" s="145">
        <f t="shared" si="21"/>
        <v>325.105</v>
      </c>
      <c r="P438" s="145">
        <f t="shared" si="21"/>
        <v>1994.28</v>
      </c>
      <c r="Q438" s="145">
        <f t="shared" si="21"/>
        <v>4151.919642857143</v>
      </c>
      <c r="R438" s="145">
        <f t="shared" si="21"/>
        <v>205574.41844844748</v>
      </c>
      <c r="T438" s="71">
        <v>43060.8273879906</v>
      </c>
      <c r="U438" s="71">
        <v>27885.9789097841</v>
      </c>
      <c r="V438" s="71">
        <v>70946.8062977747</v>
      </c>
      <c r="W438" s="71">
        <v>246148.446964728</v>
      </c>
      <c r="X438" s="71">
        <v>432623.868453902</v>
      </c>
      <c r="Y438" s="71">
        <v>749719.121716405</v>
      </c>
    </row>
    <row r="439" spans="1:25" ht="18.75">
      <c r="A439" s="138"/>
      <c r="B439" s="138"/>
      <c r="C439" s="138"/>
      <c r="D439" s="141"/>
      <c r="E439" s="138"/>
      <c r="F439" s="138"/>
      <c r="G439" s="138"/>
      <c r="H439" s="138"/>
      <c r="I439" s="138"/>
      <c r="J439" s="138"/>
      <c r="K439" s="138"/>
      <c r="L439" s="138"/>
      <c r="M439" s="138"/>
      <c r="N439" s="138"/>
      <c r="O439" s="138"/>
      <c r="P439" s="138"/>
      <c r="Q439" s="138"/>
      <c r="R439" s="138"/>
      <c r="T439" s="67"/>
      <c r="U439" s="67"/>
      <c r="V439" s="67"/>
      <c r="W439" s="67"/>
      <c r="X439" s="67"/>
      <c r="Y439" s="67"/>
    </row>
    <row r="440" spans="1:25" ht="18.75">
      <c r="A440" s="138"/>
      <c r="B440" s="138"/>
      <c r="C440" s="143" t="s">
        <v>471</v>
      </c>
      <c r="D440" s="141"/>
      <c r="E440" s="138"/>
      <c r="F440" s="138"/>
      <c r="G440" s="138"/>
      <c r="H440" s="138"/>
      <c r="I440" s="138"/>
      <c r="J440" s="138"/>
      <c r="K440" s="138"/>
      <c r="L440" s="138"/>
      <c r="M440" s="138"/>
      <c r="N440" s="138"/>
      <c r="O440" s="138"/>
      <c r="P440" s="138"/>
      <c r="Q440" s="138"/>
      <c r="R440" s="138"/>
      <c r="T440" s="67"/>
      <c r="U440" s="67"/>
      <c r="V440" s="67"/>
      <c r="W440" s="67"/>
      <c r="X440" s="67"/>
      <c r="Y440" s="67"/>
    </row>
    <row r="441" spans="1:25" ht="18.75">
      <c r="A441" s="138"/>
      <c r="B441" s="138"/>
      <c r="C441" s="138" t="s">
        <v>41</v>
      </c>
      <c r="D441" s="141"/>
      <c r="E441" s="138"/>
      <c r="F441" s="138"/>
      <c r="G441" s="138"/>
      <c r="H441" s="138"/>
      <c r="I441" s="138"/>
      <c r="J441" s="138"/>
      <c r="K441" s="138"/>
      <c r="L441" s="138"/>
      <c r="M441" s="138"/>
      <c r="N441" s="138"/>
      <c r="O441" s="138"/>
      <c r="P441" s="138"/>
      <c r="Q441" s="138"/>
      <c r="R441" s="138"/>
      <c r="T441" s="67"/>
      <c r="U441" s="67"/>
      <c r="V441" s="67"/>
      <c r="W441" s="67"/>
      <c r="X441" s="67"/>
      <c r="Y441" s="67"/>
    </row>
    <row r="442" spans="1:25" ht="18.75">
      <c r="A442" s="138">
        <v>1</v>
      </c>
      <c r="B442" s="138">
        <v>1</v>
      </c>
      <c r="C442" s="138" t="s">
        <v>71</v>
      </c>
      <c r="D442" s="137" t="s">
        <v>507</v>
      </c>
      <c r="E442" s="136">
        <f>'TISWADI '!D154</f>
        <v>0</v>
      </c>
      <c r="F442" s="136">
        <f>'TISWADI '!E154</f>
        <v>0</v>
      </c>
      <c r="G442" s="136">
        <f>'TISWADI '!F154</f>
        <v>0</v>
      </c>
      <c r="H442" s="136">
        <f>'TISWADI '!G154</f>
        <v>0</v>
      </c>
      <c r="I442" s="136">
        <f>'TISWADI '!H154</f>
        <v>0</v>
      </c>
      <c r="J442" s="136">
        <f>'TISWADI '!I154</f>
        <v>0</v>
      </c>
      <c r="K442" s="136">
        <f>'TISWADI '!J154</f>
        <v>9845.051303419134</v>
      </c>
      <c r="L442" s="136">
        <f>'TISWADI '!K154</f>
        <v>7329.964323788884</v>
      </c>
      <c r="M442" s="136">
        <f>'TISWADI '!L154</f>
        <v>11194.85460360484</v>
      </c>
      <c r="N442" s="136">
        <f>'TISWADI '!M154</f>
        <v>16525.737748178573</v>
      </c>
      <c r="O442" s="136">
        <f>'TISWADI '!N154</f>
        <v>44.84</v>
      </c>
      <c r="P442" s="136">
        <f>'TISWADI '!O154</f>
        <v>277.14</v>
      </c>
      <c r="Q442" s="136">
        <f>'TISWADI '!P154</f>
        <v>572.6785714285714</v>
      </c>
      <c r="R442" s="136">
        <f>'TISWADI '!S154</f>
        <v>45790.26655042</v>
      </c>
      <c r="T442" s="66">
        <v>0</v>
      </c>
      <c r="U442" s="66">
        <v>0</v>
      </c>
      <c r="V442" s="66">
        <v>0</v>
      </c>
      <c r="W442" s="66">
        <v>2283.39983490658</v>
      </c>
      <c r="X442" s="66">
        <v>55676.9980964281</v>
      </c>
      <c r="Y442" s="66">
        <v>57960.3979313347</v>
      </c>
    </row>
    <row r="443" spans="1:25" ht="18.75">
      <c r="A443" s="138"/>
      <c r="B443" s="138"/>
      <c r="C443" s="138"/>
      <c r="D443" s="141"/>
      <c r="E443" s="138"/>
      <c r="F443" s="138"/>
      <c r="G443" s="138"/>
      <c r="H443" s="138"/>
      <c r="I443" s="138"/>
      <c r="J443" s="138"/>
      <c r="K443" s="138"/>
      <c r="L443" s="138"/>
      <c r="M443" s="138"/>
      <c r="N443" s="138"/>
      <c r="O443" s="138"/>
      <c r="P443" s="138"/>
      <c r="Q443" s="138"/>
      <c r="R443" s="138"/>
      <c r="T443" s="67"/>
      <c r="U443" s="67"/>
      <c r="V443" s="67"/>
      <c r="W443" s="67"/>
      <c r="X443" s="67"/>
      <c r="Y443" s="67"/>
    </row>
    <row r="444" spans="1:25" ht="18.75">
      <c r="A444" s="138"/>
      <c r="B444" s="138"/>
      <c r="C444" s="138" t="s">
        <v>42</v>
      </c>
      <c r="D444" s="141"/>
      <c r="E444" s="138"/>
      <c r="F444" s="138"/>
      <c r="G444" s="138"/>
      <c r="H444" s="138"/>
      <c r="I444" s="138"/>
      <c r="J444" s="138"/>
      <c r="K444" s="138"/>
      <c r="L444" s="138"/>
      <c r="M444" s="138"/>
      <c r="N444" s="138"/>
      <c r="O444" s="138"/>
      <c r="P444" s="138"/>
      <c r="Q444" s="138"/>
      <c r="R444" s="138"/>
      <c r="T444" s="67"/>
      <c r="U444" s="67"/>
      <c r="V444" s="67"/>
      <c r="W444" s="67"/>
      <c r="X444" s="67"/>
      <c r="Y444" s="67"/>
    </row>
    <row r="445" spans="1:25" ht="18.75">
      <c r="A445" s="138">
        <v>1</v>
      </c>
      <c r="B445" s="138">
        <v>2</v>
      </c>
      <c r="C445" s="138" t="s">
        <v>282</v>
      </c>
      <c r="D445" s="137" t="s">
        <v>507</v>
      </c>
      <c r="E445" s="136">
        <f>BARDEZ!D234</f>
        <v>0</v>
      </c>
      <c r="F445" s="136">
        <f>BARDEZ!E234</f>
        <v>0</v>
      </c>
      <c r="G445" s="136">
        <f>BARDEZ!F234</f>
        <v>0</v>
      </c>
      <c r="H445" s="136">
        <f>BARDEZ!G234</f>
        <v>0</v>
      </c>
      <c r="I445" s="136">
        <f>BARDEZ!H234</f>
        <v>0</v>
      </c>
      <c r="J445" s="136">
        <f>BARDEZ!I234</f>
        <v>0</v>
      </c>
      <c r="K445" s="136">
        <f>BARDEZ!J234</f>
        <v>522.8832764606358</v>
      </c>
      <c r="L445" s="136">
        <f>BARDEZ!K234</f>
        <v>399.62975811919983</v>
      </c>
      <c r="M445" s="136">
        <f>BARDEZ!L234</f>
        <v>610.3436305820507</v>
      </c>
      <c r="N445" s="136">
        <f>BARDEZ!M234</f>
        <v>900.9834546687415</v>
      </c>
      <c r="O445" s="136">
        <f>BARDEZ!N234</f>
        <v>39.2375</v>
      </c>
      <c r="P445" s="136">
        <f>BARDEZ!O234</f>
        <v>240</v>
      </c>
      <c r="Q445" s="136">
        <f>BARDEZ!P234</f>
        <v>495</v>
      </c>
      <c r="R445" s="136">
        <f>BARDEZ!R234</f>
        <v>3208.077619830628</v>
      </c>
      <c r="T445" s="66">
        <v>0</v>
      </c>
      <c r="U445" s="66">
        <v>0</v>
      </c>
      <c r="V445" s="66">
        <v>0</v>
      </c>
      <c r="W445" s="66">
        <v>121.274288</v>
      </c>
      <c r="X445" s="66">
        <v>3035.51072</v>
      </c>
      <c r="Y445" s="66">
        <v>3156.785008</v>
      </c>
    </row>
    <row r="446" spans="1:25" ht="18.75">
      <c r="A446" s="138"/>
      <c r="B446" s="138"/>
      <c r="C446" s="138"/>
      <c r="D446" s="141"/>
      <c r="E446" s="138"/>
      <c r="F446" s="138"/>
      <c r="G446" s="138"/>
      <c r="H446" s="138"/>
      <c r="I446" s="138"/>
      <c r="J446" s="138"/>
      <c r="K446" s="138"/>
      <c r="L446" s="138"/>
      <c r="M446" s="138"/>
      <c r="N446" s="138"/>
      <c r="O446" s="138"/>
      <c r="P446" s="138"/>
      <c r="Q446" s="138"/>
      <c r="R446" s="138"/>
      <c r="T446" s="67"/>
      <c r="U446" s="67"/>
      <c r="V446" s="67"/>
      <c r="W446" s="67"/>
      <c r="X446" s="67"/>
      <c r="Y446" s="67"/>
    </row>
    <row r="447" spans="1:25" ht="18.75">
      <c r="A447" s="145">
        <v>2</v>
      </c>
      <c r="B447" s="143"/>
      <c r="C447" s="143" t="s">
        <v>17</v>
      </c>
      <c r="D447" s="144"/>
      <c r="E447" s="145">
        <f aca="true" t="shared" si="22" ref="E447:R447">E442+E445</f>
        <v>0</v>
      </c>
      <c r="F447" s="145">
        <f t="shared" si="22"/>
        <v>0</v>
      </c>
      <c r="G447" s="145">
        <f t="shared" si="22"/>
        <v>0</v>
      </c>
      <c r="H447" s="145">
        <f t="shared" si="22"/>
        <v>0</v>
      </c>
      <c r="I447" s="145">
        <f t="shared" si="22"/>
        <v>0</v>
      </c>
      <c r="J447" s="145">
        <f t="shared" si="22"/>
        <v>0</v>
      </c>
      <c r="K447" s="145">
        <f t="shared" si="22"/>
        <v>10367.93457987977</v>
      </c>
      <c r="L447" s="145">
        <f t="shared" si="22"/>
        <v>7729.594081908084</v>
      </c>
      <c r="M447" s="145">
        <f t="shared" si="22"/>
        <v>11805.19823418689</v>
      </c>
      <c r="N447" s="145">
        <f t="shared" si="22"/>
        <v>17426.721202847315</v>
      </c>
      <c r="O447" s="145">
        <f t="shared" si="22"/>
        <v>84.0775</v>
      </c>
      <c r="P447" s="145">
        <f t="shared" si="22"/>
        <v>517.14</v>
      </c>
      <c r="Q447" s="145">
        <f t="shared" si="22"/>
        <v>1067.6785714285716</v>
      </c>
      <c r="R447" s="145">
        <f t="shared" si="22"/>
        <v>48998.344170250624</v>
      </c>
      <c r="T447" s="71">
        <v>0</v>
      </c>
      <c r="U447" s="71">
        <v>0</v>
      </c>
      <c r="V447" s="71">
        <v>0</v>
      </c>
      <c r="W447" s="71">
        <v>2403.67412290658</v>
      </c>
      <c r="X447" s="71">
        <v>58712.5088164281</v>
      </c>
      <c r="Y447" s="71">
        <v>61117.1829393347</v>
      </c>
    </row>
    <row r="448" spans="1:25" ht="18.75">
      <c r="A448" s="138"/>
      <c r="B448" s="138"/>
      <c r="C448" s="138"/>
      <c r="D448" s="141"/>
      <c r="E448" s="138"/>
      <c r="F448" s="138"/>
      <c r="G448" s="138"/>
      <c r="H448" s="138"/>
      <c r="I448" s="138"/>
      <c r="J448" s="138"/>
      <c r="K448" s="138"/>
      <c r="L448" s="138"/>
      <c r="M448" s="138"/>
      <c r="N448" s="138"/>
      <c r="O448" s="138"/>
      <c r="P448" s="138"/>
      <c r="Q448" s="138"/>
      <c r="R448" s="138"/>
      <c r="T448" s="67"/>
      <c r="U448" s="67"/>
      <c r="V448" s="67"/>
      <c r="W448" s="67"/>
      <c r="X448" s="67"/>
      <c r="Y448" s="67"/>
    </row>
    <row r="449" spans="1:25" ht="18.75">
      <c r="A449" s="138"/>
      <c r="B449" s="138"/>
      <c r="C449" s="143" t="s">
        <v>472</v>
      </c>
      <c r="D449" s="141"/>
      <c r="E449" s="138"/>
      <c r="F449" s="138"/>
      <c r="G449" s="138"/>
      <c r="H449" s="138"/>
      <c r="I449" s="138"/>
      <c r="J449" s="138"/>
      <c r="K449" s="138"/>
      <c r="L449" s="138"/>
      <c r="M449" s="138"/>
      <c r="N449" s="138"/>
      <c r="O449" s="138"/>
      <c r="P449" s="138"/>
      <c r="Q449" s="138"/>
      <c r="R449" s="138"/>
      <c r="T449" s="67"/>
      <c r="U449" s="67"/>
      <c r="V449" s="67"/>
      <c r="W449" s="67"/>
      <c r="X449" s="67"/>
      <c r="Y449" s="67"/>
    </row>
    <row r="450" spans="1:25" ht="18.75">
      <c r="A450" s="138"/>
      <c r="B450" s="138"/>
      <c r="C450" s="138" t="s">
        <v>41</v>
      </c>
      <c r="D450" s="141"/>
      <c r="E450" s="138"/>
      <c r="F450" s="138"/>
      <c r="G450" s="138"/>
      <c r="H450" s="138"/>
      <c r="I450" s="138"/>
      <c r="J450" s="138"/>
      <c r="K450" s="138"/>
      <c r="L450" s="138"/>
      <c r="M450" s="138"/>
      <c r="N450" s="138"/>
      <c r="O450" s="138"/>
      <c r="P450" s="138"/>
      <c r="Q450" s="138"/>
      <c r="R450" s="138"/>
      <c r="T450" s="67"/>
      <c r="U450" s="67"/>
      <c r="V450" s="67"/>
      <c r="W450" s="67"/>
      <c r="X450" s="67"/>
      <c r="Y450" s="67"/>
    </row>
    <row r="451" spans="1:25" ht="18.75">
      <c r="A451" s="138"/>
      <c r="B451" s="138">
        <v>1</v>
      </c>
      <c r="C451" s="138" t="s">
        <v>71</v>
      </c>
      <c r="D451" s="137" t="s">
        <v>507</v>
      </c>
      <c r="E451" s="136">
        <f>'TISWADI '!D162</f>
        <v>0</v>
      </c>
      <c r="F451" s="136">
        <f>'TISWADI '!E162</f>
        <v>13726.876603960769</v>
      </c>
      <c r="G451" s="136">
        <f>'TISWADI '!F162</f>
        <v>13726.876603960769</v>
      </c>
      <c r="H451" s="136">
        <f>'TISWADI '!G162</f>
        <v>1661.5924535622473</v>
      </c>
      <c r="I451" s="136">
        <f>'TISWADI '!H162</f>
        <v>1556.3157560755994</v>
      </c>
      <c r="J451" s="136">
        <f>'TISWADI '!I162</f>
        <v>16944.784813598617</v>
      </c>
      <c r="K451" s="136">
        <f>'TISWADI '!J162</f>
        <v>19574.95580796787</v>
      </c>
      <c r="L451" s="136">
        <f>'TISWADI '!K162</f>
        <v>6071.24452036326</v>
      </c>
      <c r="M451" s="136">
        <f>'TISWADI '!L162</f>
        <v>9272.446176554797</v>
      </c>
      <c r="N451" s="136">
        <f>'TISWADI '!M162</f>
        <v>13687.896736818984</v>
      </c>
      <c r="O451" s="136">
        <f>'TISWADI '!N162</f>
        <v>44.84</v>
      </c>
      <c r="P451" s="136">
        <f>'TISWADI '!O162</f>
        <v>277.14</v>
      </c>
      <c r="Q451" s="136">
        <f>'TISWADI '!P162</f>
        <v>572.6785714285714</v>
      </c>
      <c r="R451" s="136">
        <f>'TISWADI '!S162</f>
        <v>66445.98662673209</v>
      </c>
      <c r="T451" s="66">
        <v>0</v>
      </c>
      <c r="U451" s="66">
        <v>15421.67090041</v>
      </c>
      <c r="V451" s="66">
        <v>15421.67090041</v>
      </c>
      <c r="W451" s="66">
        <v>4540.09323899554</v>
      </c>
      <c r="X451" s="66">
        <v>46116.0047540977</v>
      </c>
      <c r="Y451" s="66">
        <v>66077.7688935033</v>
      </c>
    </row>
    <row r="452" spans="1:25" ht="18.75">
      <c r="A452" s="138"/>
      <c r="B452" s="138">
        <v>2</v>
      </c>
      <c r="C452" s="138" t="s">
        <v>125</v>
      </c>
      <c r="D452" s="137" t="s">
        <v>507</v>
      </c>
      <c r="E452" s="136">
        <f>'TISWADI '!D163</f>
        <v>0</v>
      </c>
      <c r="F452" s="136">
        <f>'TISWADI '!E163</f>
        <v>0</v>
      </c>
      <c r="G452" s="136">
        <f>'TISWADI '!F163</f>
        <v>0</v>
      </c>
      <c r="H452" s="136">
        <f>'TISWADI '!G163</f>
        <v>0</v>
      </c>
      <c r="I452" s="136">
        <f>'TISWADI '!H163</f>
        <v>0</v>
      </c>
      <c r="J452" s="136">
        <f>'TISWADI '!I163</f>
        <v>0</v>
      </c>
      <c r="K452" s="136">
        <f>'TISWADI '!J163</f>
        <v>522.8832764606358</v>
      </c>
      <c r="L452" s="136">
        <f>'TISWADI '!K163</f>
        <v>199.81487905959992</v>
      </c>
      <c r="M452" s="136">
        <f>'TISWADI '!L163</f>
        <v>305.1718152910253</v>
      </c>
      <c r="N452" s="136">
        <f>'TISWADI '!M163</f>
        <v>450.49172733437075</v>
      </c>
      <c r="O452" s="136">
        <f>'TISWADI '!N163</f>
        <v>44.84</v>
      </c>
      <c r="P452" s="136">
        <f>'TISWADI '!O163</f>
        <v>277.14</v>
      </c>
      <c r="Q452" s="136">
        <f>'TISWADI '!P163</f>
        <v>572.6785714285714</v>
      </c>
      <c r="R452" s="136">
        <f>'TISWADI '!S163</f>
        <v>2373.020269574203</v>
      </c>
      <c r="T452" s="66">
        <v>0</v>
      </c>
      <c r="U452" s="66">
        <v>0</v>
      </c>
      <c r="V452" s="66">
        <v>0</v>
      </c>
      <c r="W452" s="66">
        <v>121.274288</v>
      </c>
      <c r="X452" s="66">
        <v>1517.75536</v>
      </c>
      <c r="Y452" s="66">
        <v>1639.029648</v>
      </c>
    </row>
    <row r="453" spans="1:25" ht="18.75">
      <c r="A453" s="138">
        <v>2</v>
      </c>
      <c r="B453" s="138"/>
      <c r="C453" s="138" t="s">
        <v>78</v>
      </c>
      <c r="D453" s="137"/>
      <c r="E453" s="136">
        <f>'TISWADI '!D164</f>
        <v>0</v>
      </c>
      <c r="F453" s="136">
        <f>'TISWADI '!E164</f>
        <v>13726.876603960769</v>
      </c>
      <c r="G453" s="136">
        <f>'TISWADI '!F164</f>
        <v>13726.876603960769</v>
      </c>
      <c r="H453" s="136">
        <f>'TISWADI '!G164</f>
        <v>1661.5924535622473</v>
      </c>
      <c r="I453" s="136">
        <f>'TISWADI '!H164</f>
        <v>1556.3157560755994</v>
      </c>
      <c r="J453" s="136">
        <f>'TISWADI '!I164</f>
        <v>16944.784813598617</v>
      </c>
      <c r="K453" s="136">
        <f>'TISWADI '!J164</f>
        <v>20097.839084428506</v>
      </c>
      <c r="L453" s="136">
        <f>'TISWADI '!K164</f>
        <v>6271.059399422859</v>
      </c>
      <c r="M453" s="136">
        <f>'TISWADI '!L164</f>
        <v>9577.617991845822</v>
      </c>
      <c r="N453" s="136">
        <f>'TISWADI '!M164</f>
        <v>14138.388464153355</v>
      </c>
      <c r="O453" s="136">
        <f>'TISWADI '!N164</f>
        <v>89.68</v>
      </c>
      <c r="P453" s="136">
        <f>'TISWADI '!O164</f>
        <v>554.28</v>
      </c>
      <c r="Q453" s="136">
        <f>'TISWADI '!P164</f>
        <v>1145.357142857143</v>
      </c>
      <c r="R453" s="136">
        <f>'TISWADI '!S164</f>
        <v>68819.0068963063</v>
      </c>
      <c r="T453" s="66">
        <v>0</v>
      </c>
      <c r="U453" s="66">
        <v>15421.67090041</v>
      </c>
      <c r="V453" s="66">
        <v>15421.67090041</v>
      </c>
      <c r="W453" s="66">
        <v>4661.36752699554</v>
      </c>
      <c r="X453" s="66">
        <v>47633.7601140977</v>
      </c>
      <c r="Y453" s="66">
        <v>67716.7985415032</v>
      </c>
    </row>
    <row r="454" spans="1:25" ht="18.75">
      <c r="A454" s="138"/>
      <c r="B454" s="138"/>
      <c r="C454" s="138"/>
      <c r="D454" s="141"/>
      <c r="E454" s="138"/>
      <c r="F454" s="138"/>
      <c r="G454" s="138"/>
      <c r="H454" s="138"/>
      <c r="I454" s="138"/>
      <c r="J454" s="138"/>
      <c r="K454" s="138"/>
      <c r="L454" s="138"/>
      <c r="M454" s="138"/>
      <c r="N454" s="138"/>
      <c r="O454" s="138"/>
      <c r="P454" s="138"/>
      <c r="Q454" s="138"/>
      <c r="R454" s="138"/>
      <c r="T454" s="67"/>
      <c r="U454" s="67"/>
      <c r="V454" s="67"/>
      <c r="W454" s="67"/>
      <c r="X454" s="67"/>
      <c r="Y454" s="67"/>
    </row>
    <row r="455" spans="1:25" ht="18.75">
      <c r="A455" s="138"/>
      <c r="B455" s="138"/>
      <c r="C455" s="138" t="s">
        <v>42</v>
      </c>
      <c r="D455" s="141"/>
      <c r="E455" s="138"/>
      <c r="F455" s="138"/>
      <c r="G455" s="138"/>
      <c r="H455" s="138"/>
      <c r="I455" s="138"/>
      <c r="J455" s="138"/>
      <c r="K455" s="138"/>
      <c r="L455" s="138"/>
      <c r="M455" s="138"/>
      <c r="N455" s="138"/>
      <c r="O455" s="138"/>
      <c r="P455" s="138"/>
      <c r="Q455" s="138"/>
      <c r="R455" s="138"/>
      <c r="T455" s="67"/>
      <c r="U455" s="67"/>
      <c r="V455" s="67"/>
      <c r="W455" s="67"/>
      <c r="X455" s="67"/>
      <c r="Y455" s="67"/>
    </row>
    <row r="456" spans="1:25" ht="18.75">
      <c r="A456" s="138"/>
      <c r="B456" s="138">
        <v>3</v>
      </c>
      <c r="C456" s="138" t="s">
        <v>283</v>
      </c>
      <c r="D456" s="137" t="s">
        <v>507</v>
      </c>
      <c r="E456" s="136">
        <f>BARDEZ!D147</f>
        <v>0</v>
      </c>
      <c r="F456" s="136">
        <f>BARDEZ!E147</f>
        <v>0</v>
      </c>
      <c r="G456" s="136">
        <f>BARDEZ!F147</f>
        <v>0</v>
      </c>
      <c r="H456" s="136">
        <f>BARDEZ!G147</f>
        <v>0</v>
      </c>
      <c r="I456" s="136">
        <f>BARDEZ!H147</f>
        <v>0</v>
      </c>
      <c r="J456" s="136">
        <f>BARDEZ!I147</f>
        <v>0</v>
      </c>
      <c r="K456" s="136">
        <f>BARDEZ!J147</f>
        <v>15113.017351739887</v>
      </c>
      <c r="L456" s="136">
        <f>BARDEZ!K147</f>
        <v>5877.892784045965</v>
      </c>
      <c r="M456" s="136">
        <f>BARDEZ!L147</f>
        <v>8977.145342906564</v>
      </c>
      <c r="N456" s="136">
        <f>BARDEZ!M147</f>
        <v>13251.976458576357</v>
      </c>
      <c r="O456" s="136">
        <f>BARDEZ!N147</f>
        <v>39.2375</v>
      </c>
      <c r="P456" s="136">
        <f>BARDEZ!O147</f>
        <v>240</v>
      </c>
      <c r="Q456" s="136">
        <f>BARDEZ!P147</f>
        <v>501.09375</v>
      </c>
      <c r="R456" s="136">
        <f>BARDEZ!R147</f>
        <v>44000.36318726878</v>
      </c>
      <c r="T456" s="66">
        <v>0</v>
      </c>
      <c r="U456" s="66">
        <v>0</v>
      </c>
      <c r="V456" s="66">
        <v>0</v>
      </c>
      <c r="W456" s="66">
        <v>3505.21904481273</v>
      </c>
      <c r="X456" s="66">
        <v>44647.3421823112</v>
      </c>
      <c r="Y456" s="66">
        <v>48151.5612271239</v>
      </c>
    </row>
    <row r="457" spans="1:25" ht="18.75">
      <c r="A457" s="138"/>
      <c r="B457" s="138">
        <v>4</v>
      </c>
      <c r="C457" s="138" t="s">
        <v>273</v>
      </c>
      <c r="D457" s="137" t="s">
        <v>507</v>
      </c>
      <c r="E457" s="136">
        <f>BARDEZ!D148</f>
        <v>0</v>
      </c>
      <c r="F457" s="136">
        <f>BARDEZ!E148</f>
        <v>0</v>
      </c>
      <c r="G457" s="136">
        <f>BARDEZ!F148</f>
        <v>0</v>
      </c>
      <c r="H457" s="136">
        <f>BARDEZ!G148</f>
        <v>0</v>
      </c>
      <c r="I457" s="136">
        <f>BARDEZ!H148</f>
        <v>0</v>
      </c>
      <c r="J457" s="136">
        <f>BARDEZ!I148</f>
        <v>0</v>
      </c>
      <c r="K457" s="136">
        <f>BARDEZ!J148</f>
        <v>522.8832764606358</v>
      </c>
      <c r="L457" s="136">
        <f>BARDEZ!K148</f>
        <v>399.62975811919983</v>
      </c>
      <c r="M457" s="136">
        <f>BARDEZ!L148</f>
        <v>610.3436305820507</v>
      </c>
      <c r="N457" s="136">
        <f>BARDEZ!M148</f>
        <v>900.9834546687415</v>
      </c>
      <c r="O457" s="136">
        <f>BARDEZ!N148</f>
        <v>39.2375</v>
      </c>
      <c r="P457" s="136">
        <f>BARDEZ!O148</f>
        <v>240</v>
      </c>
      <c r="Q457" s="136">
        <f>BARDEZ!P148</f>
        <v>501.09375</v>
      </c>
      <c r="R457" s="136">
        <f>BARDEZ!R148</f>
        <v>3214.171369830628</v>
      </c>
      <c r="T457" s="66">
        <v>0</v>
      </c>
      <c r="U457" s="66">
        <v>0</v>
      </c>
      <c r="V457" s="66">
        <v>0</v>
      </c>
      <c r="W457" s="66">
        <v>121.274288</v>
      </c>
      <c r="X457" s="66">
        <v>3035.51072</v>
      </c>
      <c r="Y457" s="66">
        <v>3156.785008</v>
      </c>
    </row>
    <row r="458" spans="1:25" ht="18.75">
      <c r="A458" s="138">
        <v>2</v>
      </c>
      <c r="B458" s="138"/>
      <c r="C458" s="138" t="s">
        <v>78</v>
      </c>
      <c r="D458" s="137"/>
      <c r="E458" s="136">
        <f>BARDEZ!D149</f>
        <v>0</v>
      </c>
      <c r="F458" s="136">
        <f>BARDEZ!E149</f>
        <v>0</v>
      </c>
      <c r="G458" s="136">
        <f>BARDEZ!F149</f>
        <v>0</v>
      </c>
      <c r="H458" s="136">
        <f>BARDEZ!G149</f>
        <v>0</v>
      </c>
      <c r="I458" s="136">
        <f>BARDEZ!H149</f>
        <v>0</v>
      </c>
      <c r="J458" s="136">
        <f>BARDEZ!I149</f>
        <v>0</v>
      </c>
      <c r="K458" s="136">
        <f>BARDEZ!J149</f>
        <v>15635.900628200523</v>
      </c>
      <c r="L458" s="136">
        <f>BARDEZ!K149</f>
        <v>6277.522542165165</v>
      </c>
      <c r="M458" s="136">
        <f>BARDEZ!L149</f>
        <v>9587.488973488615</v>
      </c>
      <c r="N458" s="136">
        <f>BARDEZ!M149</f>
        <v>14152.959913245099</v>
      </c>
      <c r="O458" s="136">
        <f>BARDEZ!N149</f>
        <v>78.475</v>
      </c>
      <c r="P458" s="136">
        <f>BARDEZ!O149</f>
        <v>480</v>
      </c>
      <c r="Q458" s="136">
        <f>BARDEZ!P149</f>
        <v>1002.1875</v>
      </c>
      <c r="R458" s="136">
        <f>BARDEZ!R149</f>
        <v>47214.5345570994</v>
      </c>
      <c r="T458" s="66">
        <v>0</v>
      </c>
      <c r="U458" s="66">
        <v>0</v>
      </c>
      <c r="V458" s="66">
        <v>0</v>
      </c>
      <c r="W458" s="66">
        <v>3626.49333281273</v>
      </c>
      <c r="X458" s="66">
        <v>47682.8529023112</v>
      </c>
      <c r="Y458" s="66">
        <v>51309.3462351239</v>
      </c>
    </row>
    <row r="459" spans="1:25" ht="18.75">
      <c r="A459" s="138"/>
      <c r="B459" s="138"/>
      <c r="C459" s="138"/>
      <c r="D459" s="137"/>
      <c r="E459" s="136"/>
      <c r="F459" s="136"/>
      <c r="G459" s="136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T459" s="66"/>
      <c r="U459" s="66"/>
      <c r="V459" s="66"/>
      <c r="W459" s="66"/>
      <c r="X459" s="66"/>
      <c r="Y459" s="66"/>
    </row>
    <row r="460" spans="1:25" ht="18.75">
      <c r="A460" s="145">
        <v>5</v>
      </c>
      <c r="B460" s="143"/>
      <c r="C460" s="143" t="s">
        <v>17</v>
      </c>
      <c r="D460" s="144"/>
      <c r="E460" s="145">
        <f aca="true" t="shared" si="23" ref="E460:R460">E453+E458</f>
        <v>0</v>
      </c>
      <c r="F460" s="145">
        <f t="shared" si="23"/>
        <v>13726.876603960769</v>
      </c>
      <c r="G460" s="145">
        <f t="shared" si="23"/>
        <v>13726.876603960769</v>
      </c>
      <c r="H460" s="145">
        <f t="shared" si="23"/>
        <v>1661.5924535622473</v>
      </c>
      <c r="I460" s="145">
        <f t="shared" si="23"/>
        <v>1556.3157560755994</v>
      </c>
      <c r="J460" s="145">
        <f t="shared" si="23"/>
        <v>16944.784813598617</v>
      </c>
      <c r="K460" s="145">
        <f t="shared" si="23"/>
        <v>35733.73971262903</v>
      </c>
      <c r="L460" s="145">
        <f t="shared" si="23"/>
        <v>12548.581941588025</v>
      </c>
      <c r="M460" s="145">
        <f t="shared" si="23"/>
        <v>19165.10696533444</v>
      </c>
      <c r="N460" s="145">
        <f t="shared" si="23"/>
        <v>28291.348377398455</v>
      </c>
      <c r="O460" s="145">
        <f t="shared" si="23"/>
        <v>168.155</v>
      </c>
      <c r="P460" s="145">
        <f t="shared" si="23"/>
        <v>1034.28</v>
      </c>
      <c r="Q460" s="145">
        <f t="shared" si="23"/>
        <v>2147.544642857143</v>
      </c>
      <c r="R460" s="145">
        <f t="shared" si="23"/>
        <v>116033.54145340569</v>
      </c>
      <c r="T460" s="71">
        <v>20718.7882425707</v>
      </c>
      <c r="U460" s="71">
        <v>19054.0972519376</v>
      </c>
      <c r="V460" s="71">
        <v>39772.8854945083</v>
      </c>
      <c r="W460" s="71">
        <v>9711.64894392834</v>
      </c>
      <c r="X460" s="71">
        <v>147441.057683026</v>
      </c>
      <c r="Y460" s="71">
        <v>196925.592121463</v>
      </c>
    </row>
    <row r="461" spans="1:25" ht="18.75">
      <c r="A461" s="138"/>
      <c r="B461" s="138"/>
      <c r="C461" s="138"/>
      <c r="D461" s="141"/>
      <c r="E461" s="138"/>
      <c r="F461" s="138"/>
      <c r="G461" s="138"/>
      <c r="H461" s="138"/>
      <c r="I461" s="138"/>
      <c r="J461" s="138"/>
      <c r="K461" s="138"/>
      <c r="L461" s="138"/>
      <c r="M461" s="138"/>
      <c r="N461" s="138"/>
      <c r="O461" s="138"/>
      <c r="P461" s="138"/>
      <c r="Q461" s="138"/>
      <c r="R461" s="138"/>
      <c r="T461" s="67"/>
      <c r="U461" s="67"/>
      <c r="V461" s="67"/>
      <c r="W461" s="67"/>
      <c r="X461" s="67"/>
      <c r="Y461" s="67"/>
    </row>
    <row r="462" spans="1:25" ht="18.75">
      <c r="A462" s="138"/>
      <c r="B462" s="138"/>
      <c r="C462" s="143" t="s">
        <v>473</v>
      </c>
      <c r="D462" s="141"/>
      <c r="E462" s="138"/>
      <c r="F462" s="138"/>
      <c r="G462" s="138"/>
      <c r="H462" s="138"/>
      <c r="I462" s="138"/>
      <c r="J462" s="138"/>
      <c r="K462" s="138"/>
      <c r="L462" s="138"/>
      <c r="M462" s="138"/>
      <c r="N462" s="138"/>
      <c r="O462" s="138"/>
      <c r="P462" s="138"/>
      <c r="Q462" s="138"/>
      <c r="R462" s="138"/>
      <c r="T462" s="67"/>
      <c r="U462" s="67"/>
      <c r="V462" s="67"/>
      <c r="W462" s="67"/>
      <c r="X462" s="67"/>
      <c r="Y462" s="67"/>
    </row>
    <row r="463" spans="1:25" ht="18.75">
      <c r="A463" s="138"/>
      <c r="B463" s="138"/>
      <c r="C463" s="138" t="s">
        <v>41</v>
      </c>
      <c r="D463" s="141"/>
      <c r="E463" s="138"/>
      <c r="F463" s="138"/>
      <c r="G463" s="138"/>
      <c r="H463" s="138"/>
      <c r="I463" s="138"/>
      <c r="J463" s="138"/>
      <c r="K463" s="138"/>
      <c r="L463" s="138"/>
      <c r="M463" s="138"/>
      <c r="N463" s="138"/>
      <c r="O463" s="138"/>
      <c r="P463" s="138"/>
      <c r="Q463" s="138"/>
      <c r="R463" s="138"/>
      <c r="T463" s="67"/>
      <c r="U463" s="67"/>
      <c r="V463" s="67"/>
      <c r="W463" s="67"/>
      <c r="X463" s="67"/>
      <c r="Y463" s="67"/>
    </row>
    <row r="464" spans="1:25" ht="18.75">
      <c r="A464" s="143">
        <v>1</v>
      </c>
      <c r="B464" s="143">
        <v>1</v>
      </c>
      <c r="C464" s="143" t="s">
        <v>71</v>
      </c>
      <c r="D464" s="144" t="s">
        <v>507</v>
      </c>
      <c r="E464" s="145">
        <f>'TISWADI '!D73</f>
        <v>67583.5346193998</v>
      </c>
      <c r="F464" s="145">
        <f>'TISWADI '!E73</f>
        <v>0</v>
      </c>
      <c r="G464" s="145">
        <f>'TISWADI '!F73</f>
        <v>67583.5346193998</v>
      </c>
      <c r="H464" s="145">
        <f>'TISWADI '!G73</f>
        <v>0</v>
      </c>
      <c r="I464" s="145">
        <f>'TISWADI '!H73</f>
        <v>0</v>
      </c>
      <c r="J464" s="145">
        <f>'TISWADI '!I73</f>
        <v>67583.5346193998</v>
      </c>
      <c r="K464" s="145">
        <f>'TISWADI '!J73</f>
        <v>46058.97884530145</v>
      </c>
      <c r="L464" s="145">
        <f>'TISWADI '!K73</f>
        <v>13866.524537779891</v>
      </c>
      <c r="M464" s="145">
        <f>'TISWADI '!L73</f>
        <v>21176.939355104623</v>
      </c>
      <c r="N464" s="145">
        <f>'TISWADI '!M73</f>
        <v>31257.839247847503</v>
      </c>
      <c r="O464" s="145">
        <f>'TISWADI '!N73</f>
        <v>44.84</v>
      </c>
      <c r="P464" s="145">
        <f>'TISWADI '!O73</f>
        <v>277.14</v>
      </c>
      <c r="Q464" s="145">
        <f>'TISWADI '!P73</f>
        <v>572.6785714285714</v>
      </c>
      <c r="R464" s="145">
        <f>'TISWADI '!S73</f>
        <v>180838.47517686183</v>
      </c>
      <c r="T464" s="71">
        <v>75927.7626846385</v>
      </c>
      <c r="U464" s="71">
        <v>0</v>
      </c>
      <c r="V464" s="71">
        <v>75927.7626846385</v>
      </c>
      <c r="W464" s="71">
        <v>10682.5723270483</v>
      </c>
      <c r="X464" s="71">
        <v>70495.8034457544</v>
      </c>
      <c r="Y464" s="71">
        <v>157107.138457441</v>
      </c>
    </row>
    <row r="465" spans="1:25" ht="18.75">
      <c r="A465" s="138"/>
      <c r="B465" s="138"/>
      <c r="C465" s="138"/>
      <c r="D465" s="141"/>
      <c r="E465" s="138"/>
      <c r="F465" s="138"/>
      <c r="G465" s="138"/>
      <c r="H465" s="138"/>
      <c r="I465" s="138"/>
      <c r="J465" s="138"/>
      <c r="K465" s="138"/>
      <c r="L465" s="138"/>
      <c r="M465" s="138"/>
      <c r="N465" s="138"/>
      <c r="O465" s="138"/>
      <c r="P465" s="138"/>
      <c r="Q465" s="138"/>
      <c r="R465" s="138"/>
      <c r="T465" s="67"/>
      <c r="U465" s="67"/>
      <c r="V465" s="67"/>
      <c r="W465" s="67"/>
      <c r="X465" s="67"/>
      <c r="Y465" s="67"/>
    </row>
    <row r="466" spans="1:25" ht="18.75">
      <c r="A466" s="138"/>
      <c r="B466" s="138"/>
      <c r="C466" s="143" t="s">
        <v>474</v>
      </c>
      <c r="D466" s="141"/>
      <c r="E466" s="138"/>
      <c r="F466" s="138"/>
      <c r="G466" s="138"/>
      <c r="H466" s="138"/>
      <c r="I466" s="138"/>
      <c r="J466" s="138"/>
      <c r="K466" s="138"/>
      <c r="L466" s="138"/>
      <c r="M466" s="138"/>
      <c r="N466" s="138"/>
      <c r="O466" s="138"/>
      <c r="P466" s="138"/>
      <c r="Q466" s="138"/>
      <c r="R466" s="138"/>
      <c r="T466" s="67"/>
      <c r="U466" s="67"/>
      <c r="V466" s="67"/>
      <c r="W466" s="67"/>
      <c r="X466" s="67"/>
      <c r="Y466" s="67"/>
    </row>
    <row r="467" spans="1:25" ht="18.75">
      <c r="A467" s="138"/>
      <c r="B467" s="138"/>
      <c r="C467" s="138" t="s">
        <v>41</v>
      </c>
      <c r="D467" s="141"/>
      <c r="E467" s="138"/>
      <c r="F467" s="138"/>
      <c r="G467" s="138"/>
      <c r="H467" s="138"/>
      <c r="I467" s="138"/>
      <c r="J467" s="138"/>
      <c r="K467" s="138"/>
      <c r="L467" s="138"/>
      <c r="M467" s="138"/>
      <c r="N467" s="138"/>
      <c r="O467" s="138"/>
      <c r="P467" s="138"/>
      <c r="Q467" s="138"/>
      <c r="R467" s="138"/>
      <c r="T467" s="67"/>
      <c r="U467" s="67"/>
      <c r="V467" s="67"/>
      <c r="W467" s="67"/>
      <c r="X467" s="67"/>
      <c r="Y467" s="67"/>
    </row>
    <row r="468" spans="1:25" ht="18.75">
      <c r="A468" s="138">
        <v>1</v>
      </c>
      <c r="B468" s="138">
        <v>1</v>
      </c>
      <c r="C468" s="138" t="s">
        <v>183</v>
      </c>
      <c r="D468" s="137" t="s">
        <v>507</v>
      </c>
      <c r="E468" s="136">
        <f>'TISWADI '!D236</f>
        <v>0</v>
      </c>
      <c r="F468" s="136">
        <f>'TISWADI '!E236</f>
        <v>0</v>
      </c>
      <c r="G468" s="136">
        <f>'TISWADI '!F236</f>
        <v>0</v>
      </c>
      <c r="H468" s="136">
        <f>'TISWADI '!G236</f>
        <v>0</v>
      </c>
      <c r="I468" s="136">
        <f>'TISWADI '!H236</f>
        <v>0</v>
      </c>
      <c r="J468" s="136">
        <f>'TISWADI '!I236</f>
        <v>0</v>
      </c>
      <c r="K468" s="136">
        <f>'TISWADI '!J236</f>
        <v>522.8832764606358</v>
      </c>
      <c r="L468" s="136">
        <f>'TISWADI '!K236</f>
        <v>399.62975811919983</v>
      </c>
      <c r="M468" s="136">
        <f>'TISWADI '!L236</f>
        <v>610.3436305820507</v>
      </c>
      <c r="N468" s="136">
        <f>'TISWADI '!M236</f>
        <v>900.9834546687415</v>
      </c>
      <c r="O468" s="136">
        <f>'TISWADI '!N236</f>
        <v>44.84</v>
      </c>
      <c r="P468" s="136">
        <f>'TISWADI '!O236</f>
        <v>275</v>
      </c>
      <c r="Q468" s="136">
        <f>'TISWADI '!P236</f>
        <v>550</v>
      </c>
      <c r="R468" s="136">
        <f>'TISWADI '!S236</f>
        <v>3303.680119830628</v>
      </c>
      <c r="T468" s="66">
        <v>0</v>
      </c>
      <c r="U468" s="66">
        <v>0</v>
      </c>
      <c r="V468" s="66">
        <v>0</v>
      </c>
      <c r="W468" s="66">
        <v>121.274288</v>
      </c>
      <c r="X468" s="66">
        <v>3035.51072</v>
      </c>
      <c r="Y468" s="66">
        <v>3156.785008</v>
      </c>
    </row>
    <row r="469" spans="1:25" ht="18.75">
      <c r="A469" s="138"/>
      <c r="B469" s="138"/>
      <c r="C469" s="138"/>
      <c r="D469" s="141"/>
      <c r="E469" s="138"/>
      <c r="F469" s="138"/>
      <c r="G469" s="138"/>
      <c r="H469" s="138"/>
      <c r="I469" s="138"/>
      <c r="J469" s="138"/>
      <c r="K469" s="138"/>
      <c r="L469" s="138"/>
      <c r="M469" s="138"/>
      <c r="N469" s="138"/>
      <c r="O469" s="138"/>
      <c r="P469" s="138"/>
      <c r="Q469" s="138"/>
      <c r="R469" s="138"/>
      <c r="T469" s="67"/>
      <c r="U469" s="67"/>
      <c r="V469" s="67"/>
      <c r="W469" s="67"/>
      <c r="X469" s="67"/>
      <c r="Y469" s="67"/>
    </row>
    <row r="470" spans="1:25" ht="18.75">
      <c r="A470" s="138"/>
      <c r="B470" s="138"/>
      <c r="C470" s="138" t="s">
        <v>42</v>
      </c>
      <c r="D470" s="141"/>
      <c r="E470" s="138"/>
      <c r="F470" s="138"/>
      <c r="G470" s="138"/>
      <c r="H470" s="138"/>
      <c r="I470" s="138"/>
      <c r="J470" s="138"/>
      <c r="K470" s="138"/>
      <c r="L470" s="138"/>
      <c r="M470" s="138"/>
      <c r="N470" s="138"/>
      <c r="O470" s="138"/>
      <c r="P470" s="138"/>
      <c r="Q470" s="138"/>
      <c r="R470" s="138"/>
      <c r="T470" s="67"/>
      <c r="U470" s="67"/>
      <c r="V470" s="67"/>
      <c r="W470" s="67"/>
      <c r="X470" s="67"/>
      <c r="Y470" s="67"/>
    </row>
    <row r="471" spans="1:25" ht="18.75">
      <c r="A471" s="138">
        <v>1</v>
      </c>
      <c r="B471" s="138">
        <v>1</v>
      </c>
      <c r="C471" s="138" t="s">
        <v>341</v>
      </c>
      <c r="D471" s="137" t="s">
        <v>507</v>
      </c>
      <c r="E471" s="136">
        <f>BARDEZ!D223</f>
        <v>0</v>
      </c>
      <c r="F471" s="136">
        <f>BARDEZ!E223</f>
        <v>0</v>
      </c>
      <c r="G471" s="136">
        <f>BARDEZ!F223</f>
        <v>0</v>
      </c>
      <c r="H471" s="136">
        <f>BARDEZ!G223</f>
        <v>0</v>
      </c>
      <c r="I471" s="136">
        <f>BARDEZ!H223</f>
        <v>0</v>
      </c>
      <c r="J471" s="136">
        <f>BARDEZ!I223</f>
        <v>0</v>
      </c>
      <c r="K471" s="136">
        <f>BARDEZ!J223</f>
        <v>522.8832764606358</v>
      </c>
      <c r="L471" s="136">
        <f>BARDEZ!K223</f>
        <v>399.62975811919983</v>
      </c>
      <c r="M471" s="136">
        <f>BARDEZ!L223</f>
        <v>610.3436305820507</v>
      </c>
      <c r="N471" s="136">
        <f>BARDEZ!M223</f>
        <v>900.9834546687415</v>
      </c>
      <c r="O471" s="136">
        <f>BARDEZ!N223</f>
        <v>39.2375</v>
      </c>
      <c r="P471" s="136">
        <f>BARDEZ!O223</f>
        <v>240</v>
      </c>
      <c r="Q471" s="136">
        <f>BARDEZ!P223</f>
        <v>495</v>
      </c>
      <c r="R471" s="136">
        <f>BARDEZ!R223</f>
        <v>3208.077619830628</v>
      </c>
      <c r="T471" s="66">
        <v>0</v>
      </c>
      <c r="U471" s="66">
        <v>0</v>
      </c>
      <c r="V471" s="66">
        <v>0</v>
      </c>
      <c r="W471" s="66">
        <v>121.274288</v>
      </c>
      <c r="X471" s="66">
        <v>3035.51072</v>
      </c>
      <c r="Y471" s="66">
        <v>3156.785008</v>
      </c>
    </row>
    <row r="472" spans="1:25" ht="18.75">
      <c r="A472" s="138"/>
      <c r="B472" s="138"/>
      <c r="C472" s="138"/>
      <c r="D472" s="141"/>
      <c r="E472" s="138"/>
      <c r="F472" s="138"/>
      <c r="G472" s="138"/>
      <c r="H472" s="138"/>
      <c r="I472" s="138"/>
      <c r="J472" s="138"/>
      <c r="K472" s="138"/>
      <c r="L472" s="138"/>
      <c r="M472" s="138"/>
      <c r="N472" s="138"/>
      <c r="O472" s="138"/>
      <c r="P472" s="138"/>
      <c r="Q472" s="138"/>
      <c r="R472" s="138"/>
      <c r="T472" s="67"/>
      <c r="U472" s="67"/>
      <c r="V472" s="67"/>
      <c r="W472" s="67"/>
      <c r="X472" s="67"/>
      <c r="Y472" s="67"/>
    </row>
    <row r="473" spans="1:25" ht="18.75">
      <c r="A473" s="145">
        <v>2</v>
      </c>
      <c r="B473" s="143"/>
      <c r="C473" s="143" t="s">
        <v>17</v>
      </c>
      <c r="D473" s="144"/>
      <c r="E473" s="145">
        <f aca="true" t="shared" si="24" ref="E473:R473">E468+E471</f>
        <v>0</v>
      </c>
      <c r="F473" s="145">
        <f t="shared" si="24"/>
        <v>0</v>
      </c>
      <c r="G473" s="145">
        <f t="shared" si="24"/>
        <v>0</v>
      </c>
      <c r="H473" s="145">
        <f t="shared" si="24"/>
        <v>0</v>
      </c>
      <c r="I473" s="145">
        <f t="shared" si="24"/>
        <v>0</v>
      </c>
      <c r="J473" s="145">
        <f t="shared" si="24"/>
        <v>0</v>
      </c>
      <c r="K473" s="145">
        <f t="shared" si="24"/>
        <v>1045.7665529212716</v>
      </c>
      <c r="L473" s="145">
        <f t="shared" si="24"/>
        <v>799.2595162383997</v>
      </c>
      <c r="M473" s="145">
        <f t="shared" si="24"/>
        <v>1220.6872611641013</v>
      </c>
      <c r="N473" s="145">
        <f t="shared" si="24"/>
        <v>1801.966909337483</v>
      </c>
      <c r="O473" s="145">
        <f t="shared" si="24"/>
        <v>84.0775</v>
      </c>
      <c r="P473" s="145">
        <f t="shared" si="24"/>
        <v>515</v>
      </c>
      <c r="Q473" s="145">
        <f t="shared" si="24"/>
        <v>1045</v>
      </c>
      <c r="R473" s="145">
        <f t="shared" si="24"/>
        <v>6511.757739661256</v>
      </c>
      <c r="T473" s="71">
        <v>0</v>
      </c>
      <c r="U473" s="71">
        <v>0</v>
      </c>
      <c r="V473" s="71">
        <v>0</v>
      </c>
      <c r="W473" s="71">
        <v>241.548576</v>
      </c>
      <c r="X473" s="71">
        <v>6072.02144</v>
      </c>
      <c r="Y473" s="71">
        <v>6313.570016</v>
      </c>
    </row>
    <row r="474" spans="1:25" ht="18.75">
      <c r="A474" s="138"/>
      <c r="B474" s="138"/>
      <c r="C474" s="138"/>
      <c r="D474" s="141"/>
      <c r="E474" s="138"/>
      <c r="F474" s="138"/>
      <c r="G474" s="138"/>
      <c r="H474" s="138"/>
      <c r="I474" s="138"/>
      <c r="J474" s="138"/>
      <c r="K474" s="138"/>
      <c r="L474" s="138"/>
      <c r="M474" s="138"/>
      <c r="N474" s="138"/>
      <c r="O474" s="138"/>
      <c r="P474" s="138"/>
      <c r="Q474" s="138"/>
      <c r="R474" s="138"/>
      <c r="T474" s="67"/>
      <c r="U474" s="67"/>
      <c r="V474" s="67"/>
      <c r="W474" s="67"/>
      <c r="X474" s="67"/>
      <c r="Y474" s="67"/>
    </row>
    <row r="475" spans="1:25" ht="18.75">
      <c r="A475" s="138"/>
      <c r="B475" s="138"/>
      <c r="C475" s="143" t="s">
        <v>518</v>
      </c>
      <c r="D475" s="141"/>
      <c r="E475" s="138"/>
      <c r="F475" s="138"/>
      <c r="G475" s="138"/>
      <c r="H475" s="138"/>
      <c r="I475" s="138"/>
      <c r="J475" s="138"/>
      <c r="K475" s="138"/>
      <c r="L475" s="138"/>
      <c r="M475" s="138"/>
      <c r="N475" s="138"/>
      <c r="O475" s="138"/>
      <c r="P475" s="138"/>
      <c r="Q475" s="138"/>
      <c r="R475" s="138"/>
      <c r="T475" s="67"/>
      <c r="U475" s="67"/>
      <c r="V475" s="67"/>
      <c r="W475" s="67"/>
      <c r="X475" s="67"/>
      <c r="Y475" s="67"/>
    </row>
    <row r="476" spans="1:25" ht="18.75">
      <c r="A476" s="138"/>
      <c r="B476" s="138"/>
      <c r="C476" s="138" t="s">
        <v>41</v>
      </c>
      <c r="D476" s="141"/>
      <c r="E476" s="138"/>
      <c r="F476" s="138"/>
      <c r="G476" s="138"/>
      <c r="H476" s="138"/>
      <c r="I476" s="138"/>
      <c r="J476" s="138"/>
      <c r="K476" s="138"/>
      <c r="L476" s="138"/>
      <c r="M476" s="138"/>
      <c r="N476" s="138"/>
      <c r="O476" s="138"/>
      <c r="P476" s="138"/>
      <c r="Q476" s="138"/>
      <c r="R476" s="138"/>
      <c r="T476" s="67"/>
      <c r="U476" s="67"/>
      <c r="V476" s="67"/>
      <c r="W476" s="67"/>
      <c r="X476" s="67"/>
      <c r="Y476" s="67"/>
    </row>
    <row r="477" spans="1:25" ht="18.75">
      <c r="A477" s="138">
        <v>1</v>
      </c>
      <c r="B477" s="138">
        <v>1</v>
      </c>
      <c r="C477" s="138" t="s">
        <v>71</v>
      </c>
      <c r="D477" s="137" t="s">
        <v>507</v>
      </c>
      <c r="E477" s="136">
        <f>'TISWADI '!D102</f>
        <v>200</v>
      </c>
      <c r="F477" s="136">
        <f>'TISWADI '!E102</f>
        <v>3144.833234066199</v>
      </c>
      <c r="G477" s="136">
        <f>'TISWADI '!F102</f>
        <v>3344.833234066199</v>
      </c>
      <c r="H477" s="136">
        <f>'TISWADI '!G102</f>
        <v>380.6715336778362</v>
      </c>
      <c r="I477" s="136">
        <f>'TISWADI '!H102</f>
        <v>356.5525977697787</v>
      </c>
      <c r="J477" s="136">
        <f>'TISWADI '!I102</f>
        <v>4082.057365513814</v>
      </c>
      <c r="K477" s="136">
        <f>'TISWADI '!J102</f>
        <v>20922.17335475157</v>
      </c>
      <c r="L477" s="136">
        <f>'TISWADI '!K102</f>
        <v>2770.2167737873983</v>
      </c>
      <c r="M477" s="136">
        <f>'TISWADI '!L102</f>
        <v>4230.876527238935</v>
      </c>
      <c r="N477" s="136">
        <f>'TISWADI '!M102</f>
        <v>6245.579635447952</v>
      </c>
      <c r="O477" s="136">
        <f>'TISWADI '!N102</f>
        <v>44.84</v>
      </c>
      <c r="P477" s="136">
        <f>'TISWADI '!O102</f>
        <v>277.14</v>
      </c>
      <c r="Q477" s="136">
        <f>'TISWADI '!P102</f>
        <v>572.6785714285714</v>
      </c>
      <c r="R477" s="136">
        <f>'TISWADI '!S102</f>
        <v>39145.56222816824</v>
      </c>
      <c r="T477" s="66">
        <v>0</v>
      </c>
      <c r="U477" s="66">
        <v>3533.11132398809</v>
      </c>
      <c r="V477" s="66">
        <v>3533.11132398809</v>
      </c>
      <c r="W477" s="66">
        <v>4852.55847956171</v>
      </c>
      <c r="X477" s="66">
        <v>21042.0333889331</v>
      </c>
      <c r="Y477" s="66">
        <v>29427.7031924829</v>
      </c>
    </row>
    <row r="478" spans="1:25" ht="18.75">
      <c r="A478" s="138"/>
      <c r="B478" s="138"/>
      <c r="C478" s="138"/>
      <c r="D478" s="141"/>
      <c r="E478" s="138"/>
      <c r="F478" s="138"/>
      <c r="G478" s="138"/>
      <c r="H478" s="138"/>
      <c r="I478" s="138"/>
      <c r="J478" s="138"/>
      <c r="K478" s="138"/>
      <c r="L478" s="138"/>
      <c r="M478" s="138"/>
      <c r="N478" s="138"/>
      <c r="O478" s="138"/>
      <c r="P478" s="138"/>
      <c r="Q478" s="138"/>
      <c r="R478" s="138"/>
      <c r="T478" s="67"/>
      <c r="U478" s="67"/>
      <c r="V478" s="67"/>
      <c r="W478" s="67"/>
      <c r="X478" s="67"/>
      <c r="Y478" s="67"/>
    </row>
    <row r="479" spans="1:25" ht="18.75">
      <c r="A479" s="138"/>
      <c r="B479" s="138"/>
      <c r="C479" s="138" t="s">
        <v>42</v>
      </c>
      <c r="D479" s="141"/>
      <c r="E479" s="138"/>
      <c r="F479" s="138"/>
      <c r="G479" s="138"/>
      <c r="H479" s="138"/>
      <c r="I479" s="138"/>
      <c r="J479" s="138"/>
      <c r="K479" s="138"/>
      <c r="L479" s="138"/>
      <c r="M479" s="138"/>
      <c r="N479" s="138"/>
      <c r="O479" s="138"/>
      <c r="P479" s="138"/>
      <c r="Q479" s="138"/>
      <c r="R479" s="138"/>
      <c r="T479" s="67"/>
      <c r="U479" s="67"/>
      <c r="V479" s="67"/>
      <c r="W479" s="67"/>
      <c r="X479" s="67"/>
      <c r="Y479" s="67"/>
    </row>
    <row r="480" spans="1:25" ht="18.75">
      <c r="A480" s="138"/>
      <c r="B480" s="138">
        <v>2</v>
      </c>
      <c r="C480" s="138" t="s">
        <v>282</v>
      </c>
      <c r="D480" s="137" t="s">
        <v>507</v>
      </c>
      <c r="E480" s="136">
        <f>BARDEZ!D239</f>
        <v>0</v>
      </c>
      <c r="F480" s="136">
        <f>BARDEZ!E239</f>
        <v>0</v>
      </c>
      <c r="G480" s="136">
        <f>BARDEZ!F239</f>
        <v>0</v>
      </c>
      <c r="H480" s="136">
        <f>BARDEZ!G239</f>
        <v>0</v>
      </c>
      <c r="I480" s="136">
        <f>BARDEZ!H239</f>
        <v>0</v>
      </c>
      <c r="J480" s="136">
        <f>BARDEZ!I239</f>
        <v>0</v>
      </c>
      <c r="K480" s="136">
        <f>BARDEZ!J239</f>
        <v>522.8832764606358</v>
      </c>
      <c r="L480" s="136">
        <f>BARDEZ!K239</f>
        <v>399.62975811919983</v>
      </c>
      <c r="M480" s="136">
        <f>BARDEZ!L239</f>
        <v>610.3436305820507</v>
      </c>
      <c r="N480" s="136">
        <f>BARDEZ!M239</f>
        <v>900.9834546687415</v>
      </c>
      <c r="O480" s="136">
        <f>BARDEZ!N239</f>
        <v>39.2375</v>
      </c>
      <c r="P480" s="136">
        <f>BARDEZ!O239</f>
        <v>240</v>
      </c>
      <c r="Q480" s="136">
        <f>BARDEZ!P239</f>
        <v>495</v>
      </c>
      <c r="R480" s="136">
        <f>BARDEZ!R239</f>
        <v>3208.077619830628</v>
      </c>
      <c r="T480" s="66">
        <v>0</v>
      </c>
      <c r="U480" s="66">
        <v>0</v>
      </c>
      <c r="V480" s="66">
        <v>0</v>
      </c>
      <c r="W480" s="66">
        <v>121.274288</v>
      </c>
      <c r="X480" s="66">
        <v>3035.51072</v>
      </c>
      <c r="Y480" s="66">
        <v>3156.785008</v>
      </c>
    </row>
    <row r="481" spans="1:25" ht="18.75">
      <c r="A481" s="138"/>
      <c r="B481" s="138">
        <v>3</v>
      </c>
      <c r="C481" s="138" t="s">
        <v>273</v>
      </c>
      <c r="D481" s="137" t="s">
        <v>507</v>
      </c>
      <c r="E481" s="136">
        <f>BARDEZ!D240</f>
        <v>0</v>
      </c>
      <c r="F481" s="136">
        <f>BARDEZ!E240</f>
        <v>0</v>
      </c>
      <c r="G481" s="136">
        <f>BARDEZ!F240</f>
        <v>0</v>
      </c>
      <c r="H481" s="136">
        <f>BARDEZ!G240</f>
        <v>0</v>
      </c>
      <c r="I481" s="136">
        <f>BARDEZ!H240</f>
        <v>0</v>
      </c>
      <c r="J481" s="136">
        <f>BARDEZ!I240</f>
        <v>0</v>
      </c>
      <c r="K481" s="136">
        <f>BARDEZ!J240</f>
        <v>522.8832764606358</v>
      </c>
      <c r="L481" s="136">
        <f>BARDEZ!K240</f>
        <v>399.62975811919983</v>
      </c>
      <c r="M481" s="136">
        <f>BARDEZ!L240</f>
        <v>610.3436305820507</v>
      </c>
      <c r="N481" s="136">
        <f>BARDEZ!M240</f>
        <v>900.9834546687415</v>
      </c>
      <c r="O481" s="136">
        <f>BARDEZ!N240</f>
        <v>39.2375</v>
      </c>
      <c r="P481" s="136">
        <f>BARDEZ!O240</f>
        <v>240</v>
      </c>
      <c r="Q481" s="136">
        <f>BARDEZ!P240</f>
        <v>495</v>
      </c>
      <c r="R481" s="136">
        <f>BARDEZ!R240</f>
        <v>3208.077619830628</v>
      </c>
      <c r="T481" s="66">
        <v>0</v>
      </c>
      <c r="U481" s="66">
        <v>0</v>
      </c>
      <c r="V481" s="66">
        <v>0</v>
      </c>
      <c r="W481" s="66">
        <v>121.274288</v>
      </c>
      <c r="X481" s="66">
        <v>3035.51072</v>
      </c>
      <c r="Y481" s="66">
        <v>3156.785008</v>
      </c>
    </row>
    <row r="482" spans="1:25" ht="18.75">
      <c r="A482" s="138">
        <v>2</v>
      </c>
      <c r="B482" s="138"/>
      <c r="C482" s="138" t="s">
        <v>345</v>
      </c>
      <c r="D482" s="137"/>
      <c r="E482" s="136">
        <f>BARDEZ!D241</f>
        <v>0</v>
      </c>
      <c r="F482" s="136">
        <f>BARDEZ!E241</f>
        <v>0</v>
      </c>
      <c r="G482" s="136">
        <f>BARDEZ!F241</f>
        <v>0</v>
      </c>
      <c r="H482" s="136">
        <f>BARDEZ!G241</f>
        <v>0</v>
      </c>
      <c r="I482" s="136">
        <f>BARDEZ!H241</f>
        <v>0</v>
      </c>
      <c r="J482" s="136">
        <f>BARDEZ!I241</f>
        <v>0</v>
      </c>
      <c r="K482" s="136">
        <f>BARDEZ!J241</f>
        <v>1045.7665529212716</v>
      </c>
      <c r="L482" s="136">
        <f>BARDEZ!K241</f>
        <v>799.2595162383997</v>
      </c>
      <c r="M482" s="136">
        <f>BARDEZ!L241</f>
        <v>1220.6872611641013</v>
      </c>
      <c r="N482" s="136">
        <f>BARDEZ!M241</f>
        <v>1801.966909337483</v>
      </c>
      <c r="O482" s="136">
        <f>BARDEZ!N241</f>
        <v>78.475</v>
      </c>
      <c r="P482" s="136">
        <f>BARDEZ!O241</f>
        <v>480</v>
      </c>
      <c r="Q482" s="136">
        <f>BARDEZ!P241</f>
        <v>990</v>
      </c>
      <c r="R482" s="136">
        <f>BARDEZ!R241</f>
        <v>6416.155239661256</v>
      </c>
      <c r="T482" s="66">
        <v>0</v>
      </c>
      <c r="U482" s="66">
        <v>0</v>
      </c>
      <c r="V482" s="66">
        <v>0</v>
      </c>
      <c r="W482" s="66">
        <v>241.548576</v>
      </c>
      <c r="X482" s="66">
        <v>6072.02144</v>
      </c>
      <c r="Y482" s="66">
        <v>6313.570016</v>
      </c>
    </row>
    <row r="483" spans="1:25" ht="18.75">
      <c r="A483" s="138"/>
      <c r="B483" s="138"/>
      <c r="C483" s="138"/>
      <c r="D483" s="141"/>
      <c r="E483" s="138"/>
      <c r="F483" s="138"/>
      <c r="G483" s="138"/>
      <c r="H483" s="138"/>
      <c r="I483" s="138"/>
      <c r="J483" s="138"/>
      <c r="K483" s="138"/>
      <c r="L483" s="138"/>
      <c r="M483" s="138"/>
      <c r="N483" s="138"/>
      <c r="O483" s="138"/>
      <c r="P483" s="138"/>
      <c r="Q483" s="138"/>
      <c r="R483" s="138"/>
      <c r="T483" s="67"/>
      <c r="U483" s="67"/>
      <c r="V483" s="67"/>
      <c r="W483" s="67"/>
      <c r="X483" s="67"/>
      <c r="Y483" s="67"/>
    </row>
    <row r="484" spans="1:25" ht="18.75">
      <c r="A484" s="145">
        <v>4</v>
      </c>
      <c r="B484" s="143"/>
      <c r="C484" s="143" t="s">
        <v>17</v>
      </c>
      <c r="D484" s="144"/>
      <c r="E484" s="145">
        <f aca="true" t="shared" si="25" ref="E484:R484">E477+E482</f>
        <v>200</v>
      </c>
      <c r="F484" s="145">
        <f t="shared" si="25"/>
        <v>3144.833234066199</v>
      </c>
      <c r="G484" s="145">
        <f t="shared" si="25"/>
        <v>3344.833234066199</v>
      </c>
      <c r="H484" s="145">
        <f t="shared" si="25"/>
        <v>380.6715336778362</v>
      </c>
      <c r="I484" s="145">
        <f t="shared" si="25"/>
        <v>356.5525977697787</v>
      </c>
      <c r="J484" s="145">
        <f t="shared" si="25"/>
        <v>4082.057365513814</v>
      </c>
      <c r="K484" s="145">
        <f t="shared" si="25"/>
        <v>21967.93990767284</v>
      </c>
      <c r="L484" s="145">
        <f t="shared" si="25"/>
        <v>3569.476290025798</v>
      </c>
      <c r="M484" s="145">
        <f t="shared" si="25"/>
        <v>5451.563788403036</v>
      </c>
      <c r="N484" s="145">
        <f t="shared" si="25"/>
        <v>8047.546544785435</v>
      </c>
      <c r="O484" s="145">
        <f t="shared" si="25"/>
        <v>123.315</v>
      </c>
      <c r="P484" s="145">
        <f t="shared" si="25"/>
        <v>757.14</v>
      </c>
      <c r="Q484" s="145">
        <f t="shared" si="25"/>
        <v>1562.6785714285716</v>
      </c>
      <c r="R484" s="145">
        <f t="shared" si="25"/>
        <v>45561.71746782949</v>
      </c>
      <c r="T484" s="71">
        <v>0</v>
      </c>
      <c r="U484" s="71">
        <v>3533.11132398809</v>
      </c>
      <c r="V484" s="71">
        <v>3533.11132398809</v>
      </c>
      <c r="W484" s="71">
        <v>5216.38134356171</v>
      </c>
      <c r="X484" s="71">
        <v>30908.4432289331</v>
      </c>
      <c r="Y484" s="71">
        <v>39656.9358964829</v>
      </c>
    </row>
    <row r="485" spans="1:25" ht="18.75">
      <c r="A485" s="138"/>
      <c r="B485" s="138"/>
      <c r="C485" s="138"/>
      <c r="D485" s="141"/>
      <c r="E485" s="138"/>
      <c r="F485" s="138"/>
      <c r="G485" s="138"/>
      <c r="H485" s="138"/>
      <c r="I485" s="138"/>
      <c r="J485" s="138"/>
      <c r="K485" s="138"/>
      <c r="L485" s="138"/>
      <c r="M485" s="138"/>
      <c r="N485" s="138"/>
      <c r="O485" s="138"/>
      <c r="P485" s="138"/>
      <c r="Q485" s="138"/>
      <c r="R485" s="138"/>
      <c r="T485" s="67"/>
      <c r="U485" s="67"/>
      <c r="V485" s="67"/>
      <c r="W485" s="67"/>
      <c r="X485" s="67"/>
      <c r="Y485" s="67"/>
    </row>
    <row r="486" spans="1:25" ht="18.75">
      <c r="A486" s="138"/>
      <c r="B486" s="138"/>
      <c r="C486" s="143" t="s">
        <v>476</v>
      </c>
      <c r="D486" s="141"/>
      <c r="E486" s="138"/>
      <c r="F486" s="138"/>
      <c r="G486" s="138"/>
      <c r="H486" s="138"/>
      <c r="I486" s="138"/>
      <c r="J486" s="138"/>
      <c r="K486" s="138"/>
      <c r="L486" s="138"/>
      <c r="M486" s="138"/>
      <c r="N486" s="138"/>
      <c r="O486" s="138"/>
      <c r="P486" s="138"/>
      <c r="Q486" s="138"/>
      <c r="R486" s="138"/>
      <c r="T486" s="67"/>
      <c r="U486" s="67"/>
      <c r="V486" s="67"/>
      <c r="W486" s="67"/>
      <c r="X486" s="67"/>
      <c r="Y486" s="67"/>
    </row>
    <row r="487" spans="1:25" ht="18.75">
      <c r="A487" s="138"/>
      <c r="B487" s="138"/>
      <c r="C487" s="138" t="s">
        <v>41</v>
      </c>
      <c r="D487" s="141"/>
      <c r="E487" s="138"/>
      <c r="F487" s="138"/>
      <c r="G487" s="138"/>
      <c r="H487" s="138"/>
      <c r="I487" s="138"/>
      <c r="J487" s="138"/>
      <c r="K487" s="138"/>
      <c r="L487" s="138"/>
      <c r="M487" s="138"/>
      <c r="N487" s="138"/>
      <c r="O487" s="138"/>
      <c r="P487" s="138"/>
      <c r="Q487" s="138"/>
      <c r="R487" s="138"/>
      <c r="T487" s="67"/>
      <c r="U487" s="67"/>
      <c r="V487" s="67"/>
      <c r="W487" s="67"/>
      <c r="X487" s="67"/>
      <c r="Y487" s="67"/>
    </row>
    <row r="488" spans="1:25" ht="18.75">
      <c r="A488" s="138"/>
      <c r="B488" s="138">
        <v>1</v>
      </c>
      <c r="C488" s="138" t="s">
        <v>71</v>
      </c>
      <c r="D488" s="137" t="s">
        <v>507</v>
      </c>
      <c r="E488" s="136">
        <f>'TISWADI '!D214</f>
        <v>100</v>
      </c>
      <c r="F488" s="136">
        <f>'TISWADI '!E214</f>
        <v>868.1113118949635</v>
      </c>
      <c r="G488" s="136">
        <f>'TISWADI '!F214</f>
        <v>968.1113118949635</v>
      </c>
      <c r="H488" s="136">
        <f>'TISWADI '!G214</f>
        <v>105.0819677566336</v>
      </c>
      <c r="I488" s="136">
        <f>'TISWADI '!H214</f>
        <v>109.42408813813883</v>
      </c>
      <c r="J488" s="136">
        <f>'TISWADI '!I214</f>
        <v>1182.617367789736</v>
      </c>
      <c r="K488" s="136">
        <f>'TISWADI '!J214</f>
        <v>31211.21172443051</v>
      </c>
      <c r="L488" s="136">
        <f>'TISWADI '!K214</f>
        <v>2538.4549470660627</v>
      </c>
      <c r="M488" s="136">
        <f>'TISWADI '!L214</f>
        <v>4640.549373700896</v>
      </c>
      <c r="N488" s="136">
        <f>'TISWADI '!M214</f>
        <v>6850.334789748941</v>
      </c>
      <c r="O488" s="136">
        <f>'TISWADI '!N214</f>
        <v>44</v>
      </c>
      <c r="P488" s="136">
        <f>'TISWADI '!O214</f>
        <v>274</v>
      </c>
      <c r="Q488" s="136">
        <f>'TISWADI '!P214</f>
        <v>572</v>
      </c>
      <c r="R488" s="136">
        <f>'TISWADI '!S214</f>
        <v>47313.168202736146</v>
      </c>
      <c r="T488" s="66">
        <v>0</v>
      </c>
      <c r="U488" s="66">
        <v>947.20638638985</v>
      </c>
      <c r="V488" s="66">
        <v>947.20638638985</v>
      </c>
      <c r="W488" s="66">
        <v>7238.93390723602</v>
      </c>
      <c r="X488" s="66">
        <v>23079.5189213737</v>
      </c>
      <c r="Y488" s="66">
        <v>31265.6592149995</v>
      </c>
    </row>
    <row r="489" spans="1:25" ht="18.75">
      <c r="A489" s="138"/>
      <c r="B489" s="138">
        <v>2</v>
      </c>
      <c r="C489" s="138" t="s">
        <v>73</v>
      </c>
      <c r="D489" s="137" t="s">
        <v>507</v>
      </c>
      <c r="E489" s="136">
        <f>'TISWADI '!D215</f>
        <v>0</v>
      </c>
      <c r="F489" s="136">
        <f>'TISWADI '!E215</f>
        <v>0</v>
      </c>
      <c r="G489" s="136">
        <f>'TISWADI '!F215</f>
        <v>0</v>
      </c>
      <c r="H489" s="136">
        <f>'TISWADI '!G215</f>
        <v>0</v>
      </c>
      <c r="I489" s="136">
        <f>'TISWADI '!H215</f>
        <v>0</v>
      </c>
      <c r="J489" s="136">
        <f>'TISWADI '!I215</f>
        <v>0</v>
      </c>
      <c r="K489" s="136">
        <f>'TISWADI '!J215</f>
        <v>575.7339943519958</v>
      </c>
      <c r="L489" s="136">
        <f>'TISWADI '!K215</f>
        <v>734.7365980057443</v>
      </c>
      <c r="M489" s="136">
        <f>'TISWADI '!L215</f>
        <v>1122.1431678633185</v>
      </c>
      <c r="N489" s="136">
        <f>'TISWADI '!M215</f>
        <v>1656.4970573220417</v>
      </c>
      <c r="O489" s="136">
        <f>'TISWADI '!N215</f>
        <v>44</v>
      </c>
      <c r="P489" s="136">
        <f>'TISWADI '!O215</f>
        <v>274</v>
      </c>
      <c r="Q489" s="136">
        <f>'TISWADI '!P215</f>
        <v>572</v>
      </c>
      <c r="R489" s="136">
        <f>'TISWADI '!S215</f>
        <v>4979.1108175431</v>
      </c>
      <c r="T489" s="66">
        <v>0</v>
      </c>
      <c r="U489" s="66">
        <v>0</v>
      </c>
      <c r="V489" s="66">
        <v>0</v>
      </c>
      <c r="W489" s="66">
        <v>133.532154088104</v>
      </c>
      <c r="X489" s="66">
        <v>5580.91777278889</v>
      </c>
      <c r="Y489" s="66">
        <v>5715.44992687699</v>
      </c>
    </row>
    <row r="490" spans="1:25" ht="18.75">
      <c r="A490" s="138"/>
      <c r="B490" s="138">
        <v>3</v>
      </c>
      <c r="C490" s="138" t="s">
        <v>75</v>
      </c>
      <c r="D490" s="137" t="s">
        <v>507</v>
      </c>
      <c r="E490" s="136">
        <f>'TISWADI '!D216</f>
        <v>0</v>
      </c>
      <c r="F490" s="136">
        <f>'TISWADI '!E216</f>
        <v>0</v>
      </c>
      <c r="G490" s="136">
        <f>'TISWADI '!F216</f>
        <v>0</v>
      </c>
      <c r="H490" s="136">
        <f>'TISWADI '!G216</f>
        <v>0</v>
      </c>
      <c r="I490" s="136">
        <f>'TISWADI '!H216</f>
        <v>0</v>
      </c>
      <c r="J490" s="136">
        <f>'TISWADI '!I216</f>
        <v>0</v>
      </c>
      <c r="K490" s="136">
        <f>'TISWADI '!J216</f>
        <v>522.8832764606358</v>
      </c>
      <c r="L490" s="136">
        <f>'TISWADI '!K216</f>
        <v>199.81487905959992</v>
      </c>
      <c r="M490" s="136">
        <f>'TISWADI '!L216</f>
        <v>305.1718152910253</v>
      </c>
      <c r="N490" s="136">
        <f>'TISWADI '!M216</f>
        <v>450.49172733437075</v>
      </c>
      <c r="O490" s="136">
        <f>'TISWADI '!N216</f>
        <v>44</v>
      </c>
      <c r="P490" s="136">
        <f>'TISWADI '!O216</f>
        <v>274</v>
      </c>
      <c r="Q490" s="136">
        <f>'TISWADI '!P216</f>
        <v>572</v>
      </c>
      <c r="R490" s="136">
        <f>'TISWADI '!S216</f>
        <v>2368.3616981456316</v>
      </c>
      <c r="T490" s="66">
        <v>0</v>
      </c>
      <c r="U490" s="66">
        <v>0</v>
      </c>
      <c r="V490" s="66">
        <v>0</v>
      </c>
      <c r="W490" s="66">
        <v>121.274288</v>
      </c>
      <c r="X490" s="66">
        <v>1517.75536</v>
      </c>
      <c r="Y490" s="66">
        <v>1639.029648</v>
      </c>
    </row>
    <row r="491" spans="1:25" ht="18.75">
      <c r="A491" s="138"/>
      <c r="B491" s="138">
        <v>4</v>
      </c>
      <c r="C491" s="138" t="s">
        <v>176</v>
      </c>
      <c r="D491" s="137" t="s">
        <v>507</v>
      </c>
      <c r="E491" s="136">
        <f>'TISWADI '!D217</f>
        <v>0</v>
      </c>
      <c r="F491" s="136">
        <f>'TISWADI '!E217</f>
        <v>0</v>
      </c>
      <c r="G491" s="136">
        <f>'TISWADI '!F217</f>
        <v>0</v>
      </c>
      <c r="H491" s="136">
        <f>'TISWADI '!G217</f>
        <v>0</v>
      </c>
      <c r="I491" s="136">
        <f>'TISWADI '!H217</f>
        <v>0</v>
      </c>
      <c r="J491" s="136">
        <f>'TISWADI '!I217</f>
        <v>0</v>
      </c>
      <c r="K491" s="136">
        <f>'TISWADI '!J217</f>
        <v>522.8832764606358</v>
      </c>
      <c r="L491" s="136">
        <f>'TISWADI '!K217</f>
        <v>499.5371976489997</v>
      </c>
      <c r="M491" s="136">
        <f>'TISWADI '!L217</f>
        <v>762.9295382275632</v>
      </c>
      <c r="N491" s="136">
        <f>'TISWADI '!M217</f>
        <v>1126.2293183359266</v>
      </c>
      <c r="O491" s="136">
        <f>'TISWADI '!N217</f>
        <v>44</v>
      </c>
      <c r="P491" s="136">
        <f>'TISWADI '!O217</f>
        <v>274</v>
      </c>
      <c r="Q491" s="136">
        <f>'TISWADI '!P217</f>
        <v>572</v>
      </c>
      <c r="R491" s="136">
        <f>'TISWADI '!S217</f>
        <v>3801.5793306731252</v>
      </c>
      <c r="T491" s="66">
        <v>0</v>
      </c>
      <c r="U491" s="66">
        <v>0</v>
      </c>
      <c r="V491" s="66">
        <v>0</v>
      </c>
      <c r="W491" s="66">
        <v>121.274288</v>
      </c>
      <c r="X491" s="66">
        <v>3794.3884</v>
      </c>
      <c r="Y491" s="66">
        <v>3914.662688</v>
      </c>
    </row>
    <row r="492" spans="1:25" ht="18.75">
      <c r="A492" s="138"/>
      <c r="B492" s="138">
        <v>5</v>
      </c>
      <c r="C492" s="138" t="s">
        <v>62</v>
      </c>
      <c r="D492" s="137" t="s">
        <v>508</v>
      </c>
      <c r="E492" s="136">
        <f>'TISWADI '!D218</f>
        <v>0</v>
      </c>
      <c r="F492" s="136">
        <f>'TISWADI '!E218</f>
        <v>0</v>
      </c>
      <c r="G492" s="136">
        <f>'TISWADI '!F218</f>
        <v>0</v>
      </c>
      <c r="H492" s="136">
        <f>'TISWADI '!G218</f>
        <v>0</v>
      </c>
      <c r="I492" s="136">
        <f>'TISWADI '!H218</f>
        <v>0</v>
      </c>
      <c r="J492" s="136">
        <f>'TISWADI '!I218</f>
        <v>0</v>
      </c>
      <c r="K492" s="136">
        <f>'TISWADI '!J218</f>
        <v>522.8832764606358</v>
      </c>
      <c r="L492" s="136">
        <f>'TISWADI '!K218</f>
        <v>499.5371976489997</v>
      </c>
      <c r="M492" s="136">
        <f>'TISWADI '!L218</f>
        <v>762.9295382275632</v>
      </c>
      <c r="N492" s="136">
        <f>'TISWADI '!M218</f>
        <v>1126.2293183359266</v>
      </c>
      <c r="O492" s="136">
        <f>'TISWADI '!N218</f>
        <v>44</v>
      </c>
      <c r="P492" s="136">
        <f>'TISWADI '!O218</f>
        <v>274</v>
      </c>
      <c r="Q492" s="136">
        <f>'TISWADI '!P218</f>
        <v>572</v>
      </c>
      <c r="R492" s="136">
        <f>'TISWADI '!S218</f>
        <v>3801.5793306731252</v>
      </c>
      <c r="T492" s="66">
        <v>0</v>
      </c>
      <c r="U492" s="66">
        <v>0</v>
      </c>
      <c r="V492" s="66">
        <v>0</v>
      </c>
      <c r="W492" s="66">
        <v>121.274288</v>
      </c>
      <c r="X492" s="66">
        <v>3794.3884</v>
      </c>
      <c r="Y492" s="66">
        <v>3914.662688</v>
      </c>
    </row>
    <row r="493" spans="1:25" ht="18.75">
      <c r="A493" s="138"/>
      <c r="B493" s="138">
        <v>6</v>
      </c>
      <c r="C493" s="138" t="s">
        <v>177</v>
      </c>
      <c r="D493" s="137" t="s">
        <v>508</v>
      </c>
      <c r="E493" s="136">
        <f>'TISWADI '!D219</f>
        <v>0</v>
      </c>
      <c r="F493" s="136">
        <f>'TISWADI '!E219</f>
        <v>0</v>
      </c>
      <c r="G493" s="136">
        <f>'TISWADI '!F219</f>
        <v>0</v>
      </c>
      <c r="H493" s="136">
        <f>'TISWADI '!G219</f>
        <v>0</v>
      </c>
      <c r="I493" s="136">
        <f>'TISWADI '!H219</f>
        <v>0</v>
      </c>
      <c r="J493" s="136">
        <f>'TISWADI '!I219</f>
        <v>0</v>
      </c>
      <c r="K493" s="136">
        <f>'TISWADI '!J219</f>
        <v>43.115757270876394</v>
      </c>
      <c r="L493" s="136">
        <f>'TISWADI '!K219</f>
        <v>197.47735800412516</v>
      </c>
      <c r="M493" s="136">
        <f>'TISWADI '!L219</f>
        <v>301.60178313357295</v>
      </c>
      <c r="N493" s="136">
        <f>'TISWADI '!M219</f>
        <v>445.2216798638458</v>
      </c>
      <c r="O493" s="136">
        <f>'TISWADI '!N219</f>
        <v>44</v>
      </c>
      <c r="P493" s="136">
        <f>'TISWADI '!O219</f>
        <v>274</v>
      </c>
      <c r="Q493" s="136">
        <f>'TISWADI '!P219</f>
        <v>572</v>
      </c>
      <c r="R493" s="136">
        <f>'TISWADI '!S219</f>
        <v>1877.4165782724203</v>
      </c>
      <c r="T493" s="66">
        <v>0</v>
      </c>
      <c r="U493" s="66">
        <v>0</v>
      </c>
      <c r="V493" s="66">
        <v>0</v>
      </c>
      <c r="W493" s="66">
        <v>10</v>
      </c>
      <c r="X493" s="66">
        <v>1500</v>
      </c>
      <c r="Y493" s="66">
        <v>1510</v>
      </c>
    </row>
    <row r="494" spans="1:25" ht="18.75">
      <c r="A494" s="138"/>
      <c r="B494" s="138">
        <v>7</v>
      </c>
      <c r="C494" s="138" t="s">
        <v>61</v>
      </c>
      <c r="D494" s="137" t="s">
        <v>507</v>
      </c>
      <c r="E494" s="136">
        <f>'TISWADI '!D220</f>
        <v>0</v>
      </c>
      <c r="F494" s="136">
        <f>'TISWADI '!E220</f>
        <v>0</v>
      </c>
      <c r="G494" s="136">
        <f>'TISWADI '!F220</f>
        <v>0</v>
      </c>
      <c r="H494" s="136">
        <f>'TISWADI '!G220</f>
        <v>0</v>
      </c>
      <c r="I494" s="136">
        <f>'TISWADI '!H220</f>
        <v>0</v>
      </c>
      <c r="J494" s="136">
        <f>'TISWADI '!I220</f>
        <v>0</v>
      </c>
      <c r="K494" s="136">
        <f>'TISWADI '!J220</f>
        <v>2155.7878635438196</v>
      </c>
      <c r="L494" s="136">
        <f>'TISWADI '!K220</f>
        <v>197.47735800412516</v>
      </c>
      <c r="M494" s="136">
        <f>'TISWADI '!L220</f>
        <v>301.60178313357295</v>
      </c>
      <c r="N494" s="136">
        <f>'TISWADI '!M220</f>
        <v>445.2216798638458</v>
      </c>
      <c r="O494" s="136">
        <f>'TISWADI '!N220</f>
        <v>44</v>
      </c>
      <c r="P494" s="136">
        <f>'TISWADI '!O220</f>
        <v>274</v>
      </c>
      <c r="Q494" s="136">
        <f>'TISWADI '!P220</f>
        <v>572</v>
      </c>
      <c r="R494" s="136">
        <f>'TISWADI '!S220</f>
        <v>3990.0886845453633</v>
      </c>
      <c r="T494" s="66">
        <v>0</v>
      </c>
      <c r="U494" s="66">
        <v>0</v>
      </c>
      <c r="V494" s="66">
        <v>0</v>
      </c>
      <c r="W494" s="66">
        <v>500</v>
      </c>
      <c r="X494" s="66">
        <v>1500</v>
      </c>
      <c r="Y494" s="66">
        <v>2000</v>
      </c>
    </row>
    <row r="495" spans="1:25" ht="18.75">
      <c r="A495" s="138"/>
      <c r="B495" s="138">
        <v>8</v>
      </c>
      <c r="C495" s="138" t="s">
        <v>63</v>
      </c>
      <c r="D495" s="137" t="s">
        <v>508</v>
      </c>
      <c r="E495" s="136">
        <f>'TISWADI '!D221</f>
        <v>0</v>
      </c>
      <c r="F495" s="136">
        <f>'TISWADI '!E221</f>
        <v>0</v>
      </c>
      <c r="G495" s="136">
        <f>'TISWADI '!F221</f>
        <v>0</v>
      </c>
      <c r="H495" s="136">
        <f>'TISWADI '!G221</f>
        <v>0</v>
      </c>
      <c r="I495" s="136">
        <f>'TISWADI '!H221</f>
        <v>0</v>
      </c>
      <c r="J495" s="136">
        <f>'TISWADI '!I221</f>
        <v>0</v>
      </c>
      <c r="K495" s="136">
        <f>'TISWADI '!J221</f>
        <v>8.623151454175279</v>
      </c>
      <c r="L495" s="136">
        <f>'TISWADI '!K221</f>
        <v>197.47735800412516</v>
      </c>
      <c r="M495" s="136">
        <f>'TISWADI '!L221</f>
        <v>301.60178313357295</v>
      </c>
      <c r="N495" s="136">
        <f>'TISWADI '!M221</f>
        <v>445.2216798638458</v>
      </c>
      <c r="O495" s="136">
        <f>'TISWADI '!N221</f>
        <v>44</v>
      </c>
      <c r="P495" s="136">
        <f>'TISWADI '!O221</f>
        <v>274</v>
      </c>
      <c r="Q495" s="136">
        <f>'TISWADI '!P221</f>
        <v>572</v>
      </c>
      <c r="R495" s="136">
        <f>'TISWADI '!S221</f>
        <v>1842.9239724557192</v>
      </c>
      <c r="T495" s="66">
        <v>0</v>
      </c>
      <c r="U495" s="66">
        <v>0</v>
      </c>
      <c r="V495" s="66">
        <v>0</v>
      </c>
      <c r="W495" s="66">
        <v>2</v>
      </c>
      <c r="X495" s="66">
        <v>1500</v>
      </c>
      <c r="Y495" s="66">
        <v>1502</v>
      </c>
    </row>
    <row r="496" spans="1:25" ht="18.75">
      <c r="A496" s="138"/>
      <c r="B496" s="138">
        <v>9</v>
      </c>
      <c r="C496" s="138" t="s">
        <v>65</v>
      </c>
      <c r="D496" s="137" t="s">
        <v>508</v>
      </c>
      <c r="E496" s="136">
        <f>'TISWADI '!D222</f>
        <v>0</v>
      </c>
      <c r="F496" s="136">
        <f>'TISWADI '!E222</f>
        <v>0</v>
      </c>
      <c r="G496" s="136">
        <f>'TISWADI '!F222</f>
        <v>0</v>
      </c>
      <c r="H496" s="136">
        <f>'TISWADI '!G222</f>
        <v>0</v>
      </c>
      <c r="I496" s="136">
        <f>'TISWADI '!H222</f>
        <v>0</v>
      </c>
      <c r="J496" s="136">
        <f>'TISWADI '!I222</f>
        <v>0</v>
      </c>
      <c r="K496" s="136">
        <f>'TISWADI '!J222</f>
        <v>2155.7878635438196</v>
      </c>
      <c r="L496" s="136">
        <f>'TISWADI '!K222</f>
        <v>197.47735800412516</v>
      </c>
      <c r="M496" s="136">
        <f>'TISWADI '!L222</f>
        <v>301.60178313357295</v>
      </c>
      <c r="N496" s="136">
        <f>'TISWADI '!M222</f>
        <v>445.2216798638458</v>
      </c>
      <c r="O496" s="136">
        <f>'TISWADI '!N222</f>
        <v>44</v>
      </c>
      <c r="P496" s="136">
        <f>'TISWADI '!O222</f>
        <v>274</v>
      </c>
      <c r="Q496" s="136">
        <f>'TISWADI '!P222</f>
        <v>572</v>
      </c>
      <c r="R496" s="136">
        <f>'TISWADI '!S222</f>
        <v>3990.0886845453633</v>
      </c>
      <c r="T496" s="66">
        <v>0</v>
      </c>
      <c r="U496" s="66">
        <v>0</v>
      </c>
      <c r="V496" s="66">
        <v>0</v>
      </c>
      <c r="W496" s="66">
        <v>500</v>
      </c>
      <c r="X496" s="66">
        <v>1500</v>
      </c>
      <c r="Y496" s="66">
        <v>2000</v>
      </c>
    </row>
    <row r="497" spans="1:25" ht="18.75">
      <c r="A497" s="138"/>
      <c r="B497" s="138">
        <v>10</v>
      </c>
      <c r="C497" s="138" t="s">
        <v>178</v>
      </c>
      <c r="D497" s="137" t="s">
        <v>507</v>
      </c>
      <c r="E497" s="136">
        <f>'TISWADI '!D223</f>
        <v>0</v>
      </c>
      <c r="F497" s="136">
        <f>'TISWADI '!E223</f>
        <v>0</v>
      </c>
      <c r="G497" s="136">
        <f>'TISWADI '!F223</f>
        <v>0</v>
      </c>
      <c r="H497" s="136">
        <f>'TISWADI '!G223</f>
        <v>0</v>
      </c>
      <c r="I497" s="136">
        <f>'TISWADI '!H223</f>
        <v>0</v>
      </c>
      <c r="J497" s="136">
        <f>'TISWADI '!I223</f>
        <v>0</v>
      </c>
      <c r="K497" s="136">
        <f>'TISWADI '!J223</f>
        <v>0</v>
      </c>
      <c r="L497" s="136">
        <f>'TISWADI '!K223</f>
        <v>773.4069452692045</v>
      </c>
      <c r="M497" s="136">
        <f>'TISWADI '!L223</f>
        <v>1181.203334592967</v>
      </c>
      <c r="N497" s="136">
        <f>'TISWADI '!M223</f>
        <v>1743.6811129705702</v>
      </c>
      <c r="O497" s="136">
        <f>'TISWADI '!N223</f>
        <v>44</v>
      </c>
      <c r="P497" s="136">
        <f>'TISWADI '!O223</f>
        <v>274</v>
      </c>
      <c r="Q497" s="136">
        <f>'TISWADI '!P223</f>
        <v>572</v>
      </c>
      <c r="R497" s="136">
        <f>'TISWADI '!S223</f>
        <v>4588.291392832742</v>
      </c>
      <c r="T497" s="66">
        <v>0</v>
      </c>
      <c r="U497" s="66">
        <v>0</v>
      </c>
      <c r="V497" s="66">
        <v>0</v>
      </c>
      <c r="W497" s="66">
        <v>0</v>
      </c>
      <c r="X497" s="66">
        <v>5874.6502871462</v>
      </c>
      <c r="Y497" s="66">
        <v>5874.6502871462</v>
      </c>
    </row>
    <row r="498" spans="1:25" ht="18.75">
      <c r="A498" s="138">
        <v>10</v>
      </c>
      <c r="B498" s="138"/>
      <c r="C498" s="138" t="s">
        <v>78</v>
      </c>
      <c r="D498" s="137"/>
      <c r="E498" s="136">
        <f>'TISWADI '!D224</f>
        <v>100</v>
      </c>
      <c r="F498" s="136">
        <f>'TISWADI '!E224</f>
        <v>868.1113118949635</v>
      </c>
      <c r="G498" s="136">
        <f>'TISWADI '!F224</f>
        <v>968.1113118949635</v>
      </c>
      <c r="H498" s="136">
        <f>'TISWADI '!G224</f>
        <v>105.0819677566336</v>
      </c>
      <c r="I498" s="136">
        <f>'TISWADI '!H224</f>
        <v>109.42408813813883</v>
      </c>
      <c r="J498" s="136">
        <f>'TISWADI '!I224</f>
        <v>1182.617367789736</v>
      </c>
      <c r="K498" s="136">
        <f>'TISWADI '!J224</f>
        <v>37718.9101839771</v>
      </c>
      <c r="L498" s="136">
        <f>'TISWADI '!K224</f>
        <v>6035.397196715112</v>
      </c>
      <c r="M498" s="136">
        <f>'TISWADI '!L224</f>
        <v>9981.333900437625</v>
      </c>
      <c r="N498" s="136">
        <f>'TISWADI '!M224</f>
        <v>14734.35004350316</v>
      </c>
      <c r="O498" s="136">
        <f>'TISWADI '!N224</f>
        <v>440</v>
      </c>
      <c r="P498" s="136">
        <f>'TISWADI '!O224</f>
        <v>2740</v>
      </c>
      <c r="Q498" s="136">
        <f>'TISWADI '!P224</f>
        <v>5720</v>
      </c>
      <c r="R498" s="136">
        <f>'TISWADI '!S224</f>
        <v>78552.60869242274</v>
      </c>
      <c r="T498" s="66">
        <v>0</v>
      </c>
      <c r="U498" s="66">
        <v>947.20638638985</v>
      </c>
      <c r="V498" s="66">
        <v>947.20638638985</v>
      </c>
      <c r="W498" s="66">
        <v>8748.28892532413</v>
      </c>
      <c r="X498" s="66">
        <v>49641.6191413088</v>
      </c>
      <c r="Y498" s="66">
        <v>59337.1144530227</v>
      </c>
    </row>
    <row r="499" spans="1:25" ht="18.75">
      <c r="A499" s="138"/>
      <c r="B499" s="138"/>
      <c r="C499" s="138"/>
      <c r="D499" s="141"/>
      <c r="E499" s="138"/>
      <c r="F499" s="138"/>
      <c r="G499" s="138"/>
      <c r="H499" s="138"/>
      <c r="I499" s="138"/>
      <c r="J499" s="138"/>
      <c r="K499" s="138"/>
      <c r="L499" s="138"/>
      <c r="M499" s="138"/>
      <c r="N499" s="138"/>
      <c r="O499" s="138"/>
      <c r="P499" s="138"/>
      <c r="Q499" s="138"/>
      <c r="R499" s="138"/>
      <c r="T499" s="67"/>
      <c r="U499" s="67"/>
      <c r="V499" s="67"/>
      <c r="W499" s="67"/>
      <c r="X499" s="67"/>
      <c r="Y499" s="67"/>
    </row>
    <row r="500" spans="1:25" ht="18.75">
      <c r="A500" s="138"/>
      <c r="B500" s="138"/>
      <c r="C500" s="138" t="s">
        <v>519</v>
      </c>
      <c r="D500" s="141"/>
      <c r="E500" s="138"/>
      <c r="F500" s="138"/>
      <c r="G500" s="138"/>
      <c r="H500" s="138"/>
      <c r="I500" s="138"/>
      <c r="J500" s="138"/>
      <c r="K500" s="138"/>
      <c r="L500" s="138"/>
      <c r="M500" s="138"/>
      <c r="N500" s="138"/>
      <c r="O500" s="138"/>
      <c r="P500" s="138"/>
      <c r="Q500" s="138"/>
      <c r="R500" s="138"/>
      <c r="T500" s="67"/>
      <c r="U500" s="67"/>
      <c r="V500" s="67"/>
      <c r="W500" s="67"/>
      <c r="X500" s="67"/>
      <c r="Y500" s="67"/>
    </row>
    <row r="501" spans="1:25" ht="18.75">
      <c r="A501" s="138"/>
      <c r="B501" s="138">
        <v>11</v>
      </c>
      <c r="C501" s="138" t="s">
        <v>327</v>
      </c>
      <c r="D501" s="137" t="s">
        <v>507</v>
      </c>
      <c r="E501" s="136">
        <f>BARDEZ!D203</f>
        <v>270.01689998558084</v>
      </c>
      <c r="F501" s="136">
        <f>BARDEZ!E203</f>
        <v>1424.1649110637763</v>
      </c>
      <c r="G501" s="136">
        <f>BARDEZ!F203</f>
        <v>1694.1818110493573</v>
      </c>
      <c r="H501" s="136">
        <f>BARDEZ!G203</f>
        <v>172.39039419709806</v>
      </c>
      <c r="I501" s="136">
        <f>BARDEZ!H203</f>
        <v>161.46792560945894</v>
      </c>
      <c r="J501" s="136">
        <f>BARDEZ!I203</f>
        <v>2028.0401308559144</v>
      </c>
      <c r="K501" s="136">
        <f>BARDEZ!J203</f>
        <v>3339.2571672415784</v>
      </c>
      <c r="L501" s="136">
        <f>BARDEZ!K203</f>
        <v>232.02208358076132</v>
      </c>
      <c r="M501" s="136">
        <f>BARDEZ!L203</f>
        <v>354.36100037789004</v>
      </c>
      <c r="N501" s="136">
        <f>BARDEZ!M203</f>
        <v>523.104333891171</v>
      </c>
      <c r="O501" s="136">
        <f>BARDEZ!N203</f>
        <v>39.2375</v>
      </c>
      <c r="P501" s="136">
        <f>BARDEZ!O203</f>
        <v>240</v>
      </c>
      <c r="Q501" s="136">
        <f>BARDEZ!P203</f>
        <v>495</v>
      </c>
      <c r="R501" s="136">
        <f>BARDEZ!R203</f>
        <v>7251.022215947316</v>
      </c>
      <c r="T501" s="66">
        <v>300</v>
      </c>
      <c r="U501" s="66">
        <v>1600</v>
      </c>
      <c r="V501" s="66">
        <v>1900</v>
      </c>
      <c r="W501" s="66">
        <v>774.486493711004</v>
      </c>
      <c r="X501" s="66">
        <v>1762.39508614386</v>
      </c>
      <c r="Y501" s="66">
        <v>4435.88157985486</v>
      </c>
    </row>
    <row r="502" spans="1:25" ht="18.75">
      <c r="A502" s="138"/>
      <c r="B502" s="138">
        <v>12</v>
      </c>
      <c r="C502" s="138" t="s">
        <v>328</v>
      </c>
      <c r="D502" s="137" t="s">
        <v>507</v>
      </c>
      <c r="E502" s="136">
        <f>BARDEZ!D204</f>
        <v>360.02253331410776</v>
      </c>
      <c r="F502" s="136">
        <f>BARDEZ!E204</f>
        <v>39.21447962302161</v>
      </c>
      <c r="G502" s="136">
        <f>BARDEZ!F204</f>
        <v>399.23701293712935</v>
      </c>
      <c r="H502" s="136">
        <f>BARDEZ!G204</f>
        <v>4.746781463248698</v>
      </c>
      <c r="I502" s="136">
        <f>BARDEZ!H204</f>
        <v>4.446030532976771</v>
      </c>
      <c r="J502" s="136">
        <f>BARDEZ!I204</f>
        <v>408.42982493335484</v>
      </c>
      <c r="K502" s="136">
        <f>BARDEZ!J204</f>
        <v>0</v>
      </c>
      <c r="L502" s="136">
        <f>BARDEZ!K204</f>
        <v>870.0828134278544</v>
      </c>
      <c r="M502" s="136">
        <f>BARDEZ!L204</f>
        <v>1328.8537514170866</v>
      </c>
      <c r="N502" s="136">
        <f>BARDEZ!M204</f>
        <v>1961.64125209189</v>
      </c>
      <c r="O502" s="136">
        <f>BARDEZ!N204</f>
        <v>39.2375</v>
      </c>
      <c r="P502" s="136">
        <f>BARDEZ!O204</f>
        <v>240</v>
      </c>
      <c r="Q502" s="136">
        <f>BARDEZ!P204</f>
        <v>495</v>
      </c>
      <c r="R502" s="136">
        <f>BARDEZ!R204</f>
        <v>5343.245141870186</v>
      </c>
      <c r="T502" s="66">
        <v>400</v>
      </c>
      <c r="U502" s="66">
        <v>44.0561109948768</v>
      </c>
      <c r="V502" s="66">
        <v>444.056110994877</v>
      </c>
      <c r="W502" s="66">
        <v>0</v>
      </c>
      <c r="X502" s="66">
        <v>6608.98157303947</v>
      </c>
      <c r="Y502" s="66">
        <v>7054.03768403435</v>
      </c>
    </row>
    <row r="503" spans="1:25" ht="18.75">
      <c r="A503" s="138"/>
      <c r="B503" s="138">
        <v>13</v>
      </c>
      <c r="C503" s="138" t="s">
        <v>273</v>
      </c>
      <c r="D503" s="137" t="s">
        <v>507</v>
      </c>
      <c r="E503" s="136">
        <f>BARDEZ!D205</f>
        <v>0</v>
      </c>
      <c r="F503" s="136">
        <f>BARDEZ!E205</f>
        <v>0</v>
      </c>
      <c r="G503" s="136">
        <f>BARDEZ!F205</f>
        <v>0</v>
      </c>
      <c r="H503" s="136">
        <f>BARDEZ!G205</f>
        <v>0</v>
      </c>
      <c r="I503" s="136">
        <f>BARDEZ!H205</f>
        <v>0</v>
      </c>
      <c r="J503" s="136">
        <f>BARDEZ!I205</f>
        <v>0</v>
      </c>
      <c r="K503" s="136">
        <f>BARDEZ!J205</f>
        <v>0</v>
      </c>
      <c r="L503" s="136">
        <f>BARDEZ!K205</f>
        <v>773.4069452692045</v>
      </c>
      <c r="M503" s="136">
        <f>BARDEZ!L205</f>
        <v>1181.203334592967</v>
      </c>
      <c r="N503" s="136">
        <f>BARDEZ!M205</f>
        <v>1743.6811129705702</v>
      </c>
      <c r="O503" s="136">
        <f>BARDEZ!N205</f>
        <v>39.2375</v>
      </c>
      <c r="P503" s="136">
        <f>BARDEZ!O205</f>
        <v>240</v>
      </c>
      <c r="Q503" s="136">
        <f>BARDEZ!P205</f>
        <v>495</v>
      </c>
      <c r="R503" s="136">
        <f>BARDEZ!R205</f>
        <v>4472.528892832742</v>
      </c>
      <c r="T503" s="66">
        <v>0</v>
      </c>
      <c r="U503" s="66">
        <v>0</v>
      </c>
      <c r="V503" s="66">
        <v>0</v>
      </c>
      <c r="W503" s="66">
        <v>0</v>
      </c>
      <c r="X503" s="66">
        <v>5874.6502871462</v>
      </c>
      <c r="Y503" s="66">
        <v>5874.6502871462</v>
      </c>
    </row>
    <row r="504" spans="1:25" ht="18.75">
      <c r="A504" s="138"/>
      <c r="B504" s="138">
        <v>14</v>
      </c>
      <c r="C504" s="138" t="s">
        <v>235</v>
      </c>
      <c r="D504" s="137" t="s">
        <v>507</v>
      </c>
      <c r="E504" s="136">
        <f>BARDEZ!D206</f>
        <v>270.01689998558084</v>
      </c>
      <c r="F504" s="136">
        <f>BARDEZ!E206</f>
        <v>0</v>
      </c>
      <c r="G504" s="136">
        <f>BARDEZ!F206</f>
        <v>270.01689998558084</v>
      </c>
      <c r="H504" s="136">
        <f>BARDEZ!G206</f>
        <v>0</v>
      </c>
      <c r="I504" s="136">
        <f>BARDEZ!H206</f>
        <v>0</v>
      </c>
      <c r="J504" s="136">
        <f>BARDEZ!I206</f>
        <v>270.01689998558084</v>
      </c>
      <c r="K504" s="136">
        <f>BARDEZ!J206</f>
        <v>1045.7665529212716</v>
      </c>
      <c r="L504" s="136">
        <f>BARDEZ!K206</f>
        <v>499.5371976489997</v>
      </c>
      <c r="M504" s="136">
        <f>BARDEZ!L206</f>
        <v>762.9295382275632</v>
      </c>
      <c r="N504" s="136">
        <f>BARDEZ!M206</f>
        <v>1126.2293183359266</v>
      </c>
      <c r="O504" s="136">
        <f>BARDEZ!N206</f>
        <v>39.2375</v>
      </c>
      <c r="P504" s="136">
        <f>BARDEZ!O206</f>
        <v>240</v>
      </c>
      <c r="Q504" s="136">
        <f>BARDEZ!P206</f>
        <v>495</v>
      </c>
      <c r="R504" s="136">
        <f>BARDEZ!R206</f>
        <v>4478.717007119341</v>
      </c>
      <c r="T504" s="66">
        <v>300</v>
      </c>
      <c r="U504" s="66">
        <v>0</v>
      </c>
      <c r="V504" s="66">
        <v>300</v>
      </c>
      <c r="W504" s="66">
        <v>242.548576</v>
      </c>
      <c r="X504" s="66">
        <v>3794.3884</v>
      </c>
      <c r="Y504" s="66">
        <v>4336.936976</v>
      </c>
    </row>
    <row r="505" spans="1:25" ht="18.75">
      <c r="A505" s="138"/>
      <c r="B505" s="138">
        <v>15</v>
      </c>
      <c r="C505" s="138" t="s">
        <v>329</v>
      </c>
      <c r="D505" s="137" t="s">
        <v>507</v>
      </c>
      <c r="E505" s="136">
        <f>BARDEZ!D207</f>
        <v>0</v>
      </c>
      <c r="F505" s="136">
        <f>BARDEZ!E207</f>
        <v>363.1620523212629</v>
      </c>
      <c r="G505" s="136">
        <f>BARDEZ!F207</f>
        <v>363.1620523212629</v>
      </c>
      <c r="H505" s="136">
        <f>BARDEZ!G207</f>
        <v>43.95955052026</v>
      </c>
      <c r="I505" s="136">
        <f>BARDEZ!H207</f>
        <v>41.17432103041202</v>
      </c>
      <c r="J505" s="136">
        <f>BARDEZ!I207</f>
        <v>448.29592387193486</v>
      </c>
      <c r="K505" s="136">
        <f>BARDEZ!J207</f>
        <v>1045.7665529212716</v>
      </c>
      <c r="L505" s="136">
        <f>BARDEZ!K207</f>
        <v>999.0743952979994</v>
      </c>
      <c r="M505" s="136">
        <f>BARDEZ!L207</f>
        <v>1525.8590764551263</v>
      </c>
      <c r="N505" s="136">
        <f>BARDEZ!M207</f>
        <v>2252.458636671853</v>
      </c>
      <c r="O505" s="136">
        <f>BARDEZ!N207</f>
        <v>39.2375</v>
      </c>
      <c r="P505" s="136">
        <f>BARDEZ!O207</f>
        <v>240</v>
      </c>
      <c r="Q505" s="136">
        <f>BARDEZ!P207</f>
        <v>495</v>
      </c>
      <c r="R505" s="136">
        <f>BARDEZ!R207</f>
        <v>7045.692085218186</v>
      </c>
      <c r="T505" s="66">
        <v>0</v>
      </c>
      <c r="U505" s="66">
        <v>408</v>
      </c>
      <c r="V505" s="66">
        <v>408</v>
      </c>
      <c r="W505" s="66">
        <v>242.548576</v>
      </c>
      <c r="X505" s="66">
        <v>7588.7768</v>
      </c>
      <c r="Y505" s="66">
        <v>8240.325376</v>
      </c>
    </row>
    <row r="506" spans="1:25" ht="18.75">
      <c r="A506" s="138"/>
      <c r="B506" s="138">
        <v>16</v>
      </c>
      <c r="C506" s="138" t="s">
        <v>330</v>
      </c>
      <c r="D506" s="137" t="s">
        <v>508</v>
      </c>
      <c r="E506" s="136">
        <f>BARDEZ!D208</f>
        <v>0</v>
      </c>
      <c r="F506" s="136">
        <f>BARDEZ!E208</f>
        <v>0</v>
      </c>
      <c r="G506" s="136">
        <f>BARDEZ!F208</f>
        <v>0</v>
      </c>
      <c r="H506" s="136">
        <f>BARDEZ!G208</f>
        <v>0</v>
      </c>
      <c r="I506" s="136">
        <f>BARDEZ!H208</f>
        <v>0</v>
      </c>
      <c r="J506" s="136">
        <f>BARDEZ!I208</f>
        <v>0</v>
      </c>
      <c r="K506" s="136">
        <f>BARDEZ!J208</f>
        <v>1045.7665529212716</v>
      </c>
      <c r="L506" s="136">
        <f>BARDEZ!K208</f>
        <v>351.4595904694602</v>
      </c>
      <c r="M506" s="136">
        <f>BARDEZ!L208</f>
        <v>536.7746472624483</v>
      </c>
      <c r="N506" s="136">
        <f>BARDEZ!M208</f>
        <v>792.3816221493285</v>
      </c>
      <c r="O506" s="136">
        <f>BARDEZ!N208</f>
        <v>39.2375</v>
      </c>
      <c r="P506" s="136">
        <f>BARDEZ!O208</f>
        <v>240</v>
      </c>
      <c r="Q506" s="136">
        <f>BARDEZ!P208</f>
        <v>495</v>
      </c>
      <c r="R506" s="136">
        <f>BARDEZ!R208</f>
        <v>3500.6199128025087</v>
      </c>
      <c r="T506" s="66">
        <v>0</v>
      </c>
      <c r="U506" s="66">
        <v>0</v>
      </c>
      <c r="V506" s="66">
        <v>0</v>
      </c>
      <c r="W506" s="66">
        <v>242.548576</v>
      </c>
      <c r="X506" s="66">
        <v>2669.61939856</v>
      </c>
      <c r="Y506" s="66">
        <v>2913.16797456</v>
      </c>
    </row>
    <row r="507" spans="1:25" ht="18.75">
      <c r="A507" s="138"/>
      <c r="B507" s="138">
        <v>17</v>
      </c>
      <c r="C507" s="138" t="s">
        <v>331</v>
      </c>
      <c r="D507" s="137" t="s">
        <v>508</v>
      </c>
      <c r="E507" s="136">
        <f>BARDEZ!D209</f>
        <v>0</v>
      </c>
      <c r="F507" s="136">
        <f>BARDEZ!E209</f>
        <v>0</v>
      </c>
      <c r="G507" s="136">
        <f>BARDEZ!F209</f>
        <v>0</v>
      </c>
      <c r="H507" s="136">
        <f>BARDEZ!G209</f>
        <v>0</v>
      </c>
      <c r="I507" s="136">
        <f>BARDEZ!H209</f>
        <v>0</v>
      </c>
      <c r="J507" s="136">
        <f>BARDEZ!I209</f>
        <v>0</v>
      </c>
      <c r="K507" s="136">
        <f>BARDEZ!J209</f>
        <v>1045.7665529212716</v>
      </c>
      <c r="L507" s="136">
        <f>BARDEZ!K209</f>
        <v>499.5371976489997</v>
      </c>
      <c r="M507" s="136">
        <f>BARDEZ!L209</f>
        <v>762.9295382275632</v>
      </c>
      <c r="N507" s="136">
        <f>BARDEZ!M209</f>
        <v>1126.2293183359266</v>
      </c>
      <c r="O507" s="136">
        <f>BARDEZ!N209</f>
        <v>39.2375</v>
      </c>
      <c r="P507" s="136">
        <f>BARDEZ!O209</f>
        <v>240</v>
      </c>
      <c r="Q507" s="136">
        <f>BARDEZ!P209</f>
        <v>495</v>
      </c>
      <c r="R507" s="136">
        <f>BARDEZ!R209</f>
        <v>4208.700107133762</v>
      </c>
      <c r="T507" s="66">
        <v>0</v>
      </c>
      <c r="U507" s="66">
        <v>0</v>
      </c>
      <c r="V507" s="66">
        <v>0</v>
      </c>
      <c r="W507" s="66">
        <v>242.548576</v>
      </c>
      <c r="X507" s="66">
        <v>3794.3884</v>
      </c>
      <c r="Y507" s="66">
        <v>4036.936976</v>
      </c>
    </row>
    <row r="508" spans="1:25" ht="18.75">
      <c r="A508" s="138"/>
      <c r="B508" s="138">
        <v>18</v>
      </c>
      <c r="C508" s="138" t="s">
        <v>332</v>
      </c>
      <c r="D508" s="137" t="s">
        <v>508</v>
      </c>
      <c r="E508" s="136">
        <f>BARDEZ!D210</f>
        <v>0</v>
      </c>
      <c r="F508" s="136">
        <f>BARDEZ!E210</f>
        <v>0</v>
      </c>
      <c r="G508" s="136">
        <f>BARDEZ!F210</f>
        <v>0</v>
      </c>
      <c r="H508" s="136">
        <f>BARDEZ!G210</f>
        <v>0</v>
      </c>
      <c r="I508" s="136">
        <f>BARDEZ!H210</f>
        <v>0</v>
      </c>
      <c r="J508" s="136">
        <f>BARDEZ!I210</f>
        <v>0</v>
      </c>
      <c r="K508" s="136">
        <f>BARDEZ!J210</f>
        <v>1045.7665529212716</v>
      </c>
      <c r="L508" s="136">
        <f>BARDEZ!K210</f>
        <v>499.5371976489997</v>
      </c>
      <c r="M508" s="136">
        <f>BARDEZ!L210</f>
        <v>762.9295382275632</v>
      </c>
      <c r="N508" s="136">
        <f>BARDEZ!M210</f>
        <v>1126.2293183359266</v>
      </c>
      <c r="O508" s="136">
        <f>BARDEZ!N210</f>
        <v>39.2375</v>
      </c>
      <c r="P508" s="136">
        <f>BARDEZ!O210</f>
        <v>240</v>
      </c>
      <c r="Q508" s="136">
        <f>BARDEZ!P210</f>
        <v>495</v>
      </c>
      <c r="R508" s="136">
        <f>BARDEZ!R210</f>
        <v>4208.700107133762</v>
      </c>
      <c r="T508" s="66">
        <v>0</v>
      </c>
      <c r="U508" s="66">
        <v>0</v>
      </c>
      <c r="V508" s="66">
        <v>0</v>
      </c>
      <c r="W508" s="66">
        <v>242.548576</v>
      </c>
      <c r="X508" s="66">
        <v>3794.3884</v>
      </c>
      <c r="Y508" s="66">
        <v>4036.936976</v>
      </c>
    </row>
    <row r="509" spans="1:25" ht="18.75">
      <c r="A509" s="138"/>
      <c r="B509" s="138">
        <v>19</v>
      </c>
      <c r="C509" s="138" t="s">
        <v>218</v>
      </c>
      <c r="D509" s="137" t="s">
        <v>508</v>
      </c>
      <c r="E509" s="136">
        <f>BARDEZ!D211</f>
        <v>0</v>
      </c>
      <c r="F509" s="136">
        <f>BARDEZ!E211</f>
        <v>178.02061388297204</v>
      </c>
      <c r="G509" s="136">
        <f>BARDEZ!F211</f>
        <v>178.02061388297204</v>
      </c>
      <c r="H509" s="136">
        <f>BARDEZ!G211</f>
        <v>21.548799274637258</v>
      </c>
      <c r="I509" s="136">
        <f>BARDEZ!H211</f>
        <v>20.183490701182368</v>
      </c>
      <c r="J509" s="136">
        <f>BARDEZ!I211</f>
        <v>219.75290385879168</v>
      </c>
      <c r="K509" s="136">
        <f>BARDEZ!J211</f>
        <v>1045.7665529212716</v>
      </c>
      <c r="L509" s="136">
        <f>BARDEZ!K211</f>
        <v>499.5371976489997</v>
      </c>
      <c r="M509" s="136">
        <f>BARDEZ!L211</f>
        <v>762.9295382275632</v>
      </c>
      <c r="N509" s="136">
        <f>BARDEZ!M211</f>
        <v>1126.2293183359266</v>
      </c>
      <c r="O509" s="136">
        <f>BARDEZ!N211</f>
        <v>39.2375</v>
      </c>
      <c r="P509" s="136">
        <f>BARDEZ!O211</f>
        <v>240</v>
      </c>
      <c r="Q509" s="136">
        <f>BARDEZ!P211</f>
        <v>495</v>
      </c>
      <c r="R509" s="136">
        <f>BARDEZ!R211</f>
        <v>4428.453010992553</v>
      </c>
      <c r="T509" s="66">
        <v>0</v>
      </c>
      <c r="U509" s="66">
        <v>200</v>
      </c>
      <c r="V509" s="66">
        <v>200</v>
      </c>
      <c r="W509" s="66">
        <v>242.548576</v>
      </c>
      <c r="X509" s="66">
        <v>3794.3884</v>
      </c>
      <c r="Y509" s="66">
        <v>4236.936976</v>
      </c>
    </row>
    <row r="510" spans="1:25" ht="18.75">
      <c r="A510" s="138"/>
      <c r="B510" s="138">
        <v>20</v>
      </c>
      <c r="C510" s="138" t="s">
        <v>333</v>
      </c>
      <c r="D510" s="137" t="s">
        <v>508</v>
      </c>
      <c r="E510" s="136">
        <f>BARDEZ!D212</f>
        <v>0</v>
      </c>
      <c r="F510" s="136">
        <f>BARDEZ!E212</f>
        <v>0</v>
      </c>
      <c r="G510" s="136">
        <f>BARDEZ!F212</f>
        <v>0</v>
      </c>
      <c r="H510" s="136">
        <f>BARDEZ!G212</f>
        <v>0</v>
      </c>
      <c r="I510" s="136">
        <f>BARDEZ!H212</f>
        <v>0</v>
      </c>
      <c r="J510" s="136">
        <f>BARDEZ!I212</f>
        <v>0</v>
      </c>
      <c r="K510" s="136">
        <f>BARDEZ!J212</f>
        <v>0</v>
      </c>
      <c r="L510" s="136">
        <f>BARDEZ!K212</f>
        <v>131.6515720027501</v>
      </c>
      <c r="M510" s="136">
        <f>BARDEZ!L212</f>
        <v>201.06785542238194</v>
      </c>
      <c r="N510" s="136">
        <f>BARDEZ!M212</f>
        <v>296.81445324256384</v>
      </c>
      <c r="O510" s="136">
        <f>BARDEZ!N212</f>
        <v>39.2375</v>
      </c>
      <c r="P510" s="136">
        <f>BARDEZ!O212</f>
        <v>240</v>
      </c>
      <c r="Q510" s="136">
        <f>BARDEZ!P212</f>
        <v>495</v>
      </c>
      <c r="R510" s="136">
        <f>BARDEZ!R212</f>
        <v>1403.771380667696</v>
      </c>
      <c r="T510" s="66">
        <v>0</v>
      </c>
      <c r="U510" s="66">
        <v>0</v>
      </c>
      <c r="V510" s="66">
        <v>0</v>
      </c>
      <c r="W510" s="66">
        <v>0</v>
      </c>
      <c r="X510" s="66">
        <v>1000</v>
      </c>
      <c r="Y510" s="66">
        <v>1000</v>
      </c>
    </row>
    <row r="511" spans="1:25" ht="18.75">
      <c r="A511" s="138"/>
      <c r="B511" s="138">
        <v>21</v>
      </c>
      <c r="C511" s="138" t="s">
        <v>289</v>
      </c>
      <c r="D511" s="137" t="s">
        <v>508</v>
      </c>
      <c r="E511" s="136">
        <f>BARDEZ!D213</f>
        <v>0</v>
      </c>
      <c r="F511" s="136">
        <f>BARDEZ!E213</f>
        <v>0</v>
      </c>
      <c r="G511" s="136">
        <f>BARDEZ!F213</f>
        <v>0</v>
      </c>
      <c r="H511" s="136">
        <f>BARDEZ!G213</f>
        <v>0</v>
      </c>
      <c r="I511" s="136">
        <f>BARDEZ!H213</f>
        <v>0</v>
      </c>
      <c r="J511" s="136">
        <f>BARDEZ!I213</f>
        <v>0</v>
      </c>
      <c r="K511" s="136">
        <f>BARDEZ!J213</f>
        <v>0</v>
      </c>
      <c r="L511" s="136">
        <f>BARDEZ!K213</f>
        <v>131.6515720027501</v>
      </c>
      <c r="M511" s="136">
        <f>BARDEZ!L213</f>
        <v>201.06785542238194</v>
      </c>
      <c r="N511" s="136">
        <f>BARDEZ!M213</f>
        <v>296.81445324256384</v>
      </c>
      <c r="O511" s="136">
        <f>BARDEZ!N213</f>
        <v>39.2375</v>
      </c>
      <c r="P511" s="136">
        <f>BARDEZ!O213</f>
        <v>240</v>
      </c>
      <c r="Q511" s="136">
        <f>BARDEZ!P213</f>
        <v>495</v>
      </c>
      <c r="R511" s="136">
        <f>BARDEZ!R213</f>
        <v>1403.771380667696</v>
      </c>
      <c r="T511" s="66">
        <v>0</v>
      </c>
      <c r="U511" s="66">
        <v>0</v>
      </c>
      <c r="V511" s="66">
        <v>0</v>
      </c>
      <c r="W511" s="66">
        <v>0</v>
      </c>
      <c r="X511" s="66">
        <v>1000</v>
      </c>
      <c r="Y511" s="66">
        <v>1000</v>
      </c>
    </row>
    <row r="512" spans="1:25" ht="18.75">
      <c r="A512" s="138"/>
      <c r="B512" s="138">
        <v>22</v>
      </c>
      <c r="C512" s="138" t="s">
        <v>334</v>
      </c>
      <c r="D512" s="137" t="s">
        <v>508</v>
      </c>
      <c r="E512" s="136">
        <f>BARDEZ!D214</f>
        <v>0</v>
      </c>
      <c r="F512" s="136">
        <f>BARDEZ!E214</f>
        <v>178.02061388297204</v>
      </c>
      <c r="G512" s="136">
        <f>BARDEZ!F214</f>
        <v>178.02061388297204</v>
      </c>
      <c r="H512" s="136">
        <f>BARDEZ!G214</f>
        <v>21.548799274637258</v>
      </c>
      <c r="I512" s="136">
        <f>BARDEZ!H214</f>
        <v>20.183490701182368</v>
      </c>
      <c r="J512" s="136">
        <f>BARDEZ!I214</f>
        <v>219.75290385879168</v>
      </c>
      <c r="K512" s="136">
        <f>BARDEZ!J214</f>
        <v>0</v>
      </c>
      <c r="L512" s="136">
        <f>BARDEZ!K214</f>
        <v>131.6515720027501</v>
      </c>
      <c r="M512" s="136">
        <f>BARDEZ!L214</f>
        <v>201.06785542238194</v>
      </c>
      <c r="N512" s="136">
        <f>BARDEZ!M214</f>
        <v>296.81445324256384</v>
      </c>
      <c r="O512" s="136">
        <f>BARDEZ!N214</f>
        <v>39.2375</v>
      </c>
      <c r="P512" s="136">
        <f>BARDEZ!O214</f>
        <v>240</v>
      </c>
      <c r="Q512" s="136">
        <f>BARDEZ!P214</f>
        <v>495</v>
      </c>
      <c r="R512" s="136">
        <f>BARDEZ!R214</f>
        <v>1623.5242845264875</v>
      </c>
      <c r="T512" s="66">
        <v>0</v>
      </c>
      <c r="U512" s="66">
        <v>200</v>
      </c>
      <c r="V512" s="66">
        <v>200</v>
      </c>
      <c r="W512" s="66">
        <v>0</v>
      </c>
      <c r="X512" s="66">
        <v>1000</v>
      </c>
      <c r="Y512" s="66">
        <v>1200</v>
      </c>
    </row>
    <row r="513" spans="1:25" ht="18.75">
      <c r="A513" s="138"/>
      <c r="B513" s="138">
        <v>23</v>
      </c>
      <c r="C513" s="138" t="s">
        <v>335</v>
      </c>
      <c r="D513" s="137" t="s">
        <v>508</v>
      </c>
      <c r="E513" s="136">
        <f>BARDEZ!D215</f>
        <v>0</v>
      </c>
      <c r="F513" s="136">
        <f>BARDEZ!E215</f>
        <v>0</v>
      </c>
      <c r="G513" s="136">
        <f>BARDEZ!F215</f>
        <v>0</v>
      </c>
      <c r="H513" s="136">
        <f>BARDEZ!G215</f>
        <v>0</v>
      </c>
      <c r="I513" s="136">
        <f>BARDEZ!H215</f>
        <v>0</v>
      </c>
      <c r="J513" s="136">
        <f>BARDEZ!I215</f>
        <v>0</v>
      </c>
      <c r="K513" s="136">
        <f>BARDEZ!J215</f>
        <v>0</v>
      </c>
      <c r="L513" s="136">
        <f>BARDEZ!K215</f>
        <v>131.6515720027501</v>
      </c>
      <c r="M513" s="136">
        <f>BARDEZ!L215</f>
        <v>201.06785542238194</v>
      </c>
      <c r="N513" s="136">
        <f>BARDEZ!M215</f>
        <v>296.81445324256384</v>
      </c>
      <c r="O513" s="136">
        <f>BARDEZ!N215</f>
        <v>39.2375</v>
      </c>
      <c r="P513" s="136">
        <f>BARDEZ!O215</f>
        <v>240</v>
      </c>
      <c r="Q513" s="136">
        <f>BARDEZ!P215</f>
        <v>495</v>
      </c>
      <c r="R513" s="136">
        <f>BARDEZ!R215</f>
        <v>1403.771380667696</v>
      </c>
      <c r="T513" s="66">
        <v>0</v>
      </c>
      <c r="U513" s="66">
        <v>0</v>
      </c>
      <c r="V513" s="66">
        <v>0</v>
      </c>
      <c r="W513" s="66">
        <v>0</v>
      </c>
      <c r="X513" s="66">
        <v>1000</v>
      </c>
      <c r="Y513" s="66">
        <v>1000</v>
      </c>
    </row>
    <row r="514" spans="1:25" ht="18.75">
      <c r="A514" s="138"/>
      <c r="B514" s="138">
        <v>24</v>
      </c>
      <c r="C514" s="138" t="s">
        <v>336</v>
      </c>
      <c r="D514" s="137" t="s">
        <v>508</v>
      </c>
      <c r="E514" s="136">
        <f>BARDEZ!D216</f>
        <v>0</v>
      </c>
      <c r="F514" s="136">
        <f>BARDEZ!E216</f>
        <v>445.05153470743005</v>
      </c>
      <c r="G514" s="136">
        <f>BARDEZ!F216</f>
        <v>445.05153470743005</v>
      </c>
      <c r="H514" s="136">
        <f>BARDEZ!G216</f>
        <v>53.871998186593146</v>
      </c>
      <c r="I514" s="136">
        <f>BARDEZ!H216</f>
        <v>50.45872675295591</v>
      </c>
      <c r="J514" s="136">
        <f>BARDEZ!I216</f>
        <v>549.3822596469792</v>
      </c>
      <c r="K514" s="136">
        <f>BARDEZ!J216</f>
        <v>0</v>
      </c>
      <c r="L514" s="136">
        <f>BARDEZ!K216</f>
        <v>131.6515720027501</v>
      </c>
      <c r="M514" s="136">
        <f>BARDEZ!L216</f>
        <v>201.06785542238194</v>
      </c>
      <c r="N514" s="136">
        <f>BARDEZ!M216</f>
        <v>296.81445324256384</v>
      </c>
      <c r="O514" s="136">
        <f>BARDEZ!N216</f>
        <v>39.2375</v>
      </c>
      <c r="P514" s="136">
        <f>BARDEZ!O216</f>
        <v>240</v>
      </c>
      <c r="Q514" s="136">
        <f>BARDEZ!P216</f>
        <v>495</v>
      </c>
      <c r="R514" s="136">
        <f>BARDEZ!R216</f>
        <v>1953.153640314675</v>
      </c>
      <c r="T514" s="66">
        <v>0</v>
      </c>
      <c r="U514" s="66">
        <v>500</v>
      </c>
      <c r="V514" s="66">
        <v>500</v>
      </c>
      <c r="W514" s="66">
        <v>0</v>
      </c>
      <c r="X514" s="66">
        <v>1000</v>
      </c>
      <c r="Y514" s="66">
        <v>1500</v>
      </c>
    </row>
    <row r="515" spans="1:25" ht="18.75">
      <c r="A515" s="138"/>
      <c r="B515" s="138">
        <v>25</v>
      </c>
      <c r="C515" s="138" t="s">
        <v>337</v>
      </c>
      <c r="D515" s="137" t="s">
        <v>508</v>
      </c>
      <c r="E515" s="136">
        <f>BARDEZ!D217</f>
        <v>0</v>
      </c>
      <c r="F515" s="136">
        <f>BARDEZ!E217</f>
        <v>0</v>
      </c>
      <c r="G515" s="136">
        <f>BARDEZ!F217</f>
        <v>0</v>
      </c>
      <c r="H515" s="136">
        <f>BARDEZ!G217</f>
        <v>0</v>
      </c>
      <c r="I515" s="136">
        <f>BARDEZ!H217</f>
        <v>0</v>
      </c>
      <c r="J515" s="136">
        <f>BARDEZ!I217</f>
        <v>0</v>
      </c>
      <c r="K515" s="136">
        <f>BARDEZ!J217</f>
        <v>0</v>
      </c>
      <c r="L515" s="136">
        <f>BARDEZ!K217</f>
        <v>131.6515720027501</v>
      </c>
      <c r="M515" s="136">
        <f>BARDEZ!L217</f>
        <v>201.06785542238194</v>
      </c>
      <c r="N515" s="136">
        <f>BARDEZ!M217</f>
        <v>296.81445324256384</v>
      </c>
      <c r="O515" s="136">
        <f>BARDEZ!N217</f>
        <v>39.2375</v>
      </c>
      <c r="P515" s="136">
        <f>BARDEZ!O217</f>
        <v>240</v>
      </c>
      <c r="Q515" s="136">
        <f>BARDEZ!P217</f>
        <v>495</v>
      </c>
      <c r="R515" s="136">
        <f>BARDEZ!R217</f>
        <v>1403.771380667696</v>
      </c>
      <c r="T515" s="66">
        <v>0</v>
      </c>
      <c r="U515" s="66">
        <v>0</v>
      </c>
      <c r="V515" s="66">
        <v>0</v>
      </c>
      <c r="W515" s="66">
        <v>0</v>
      </c>
      <c r="X515" s="66">
        <v>1000</v>
      </c>
      <c r="Y515" s="66">
        <v>1000</v>
      </c>
    </row>
    <row r="516" spans="1:25" ht="18.75">
      <c r="A516" s="138"/>
      <c r="B516" s="138">
        <v>26</v>
      </c>
      <c r="C516" s="138" t="s">
        <v>338</v>
      </c>
      <c r="D516" s="137" t="s">
        <v>508</v>
      </c>
      <c r="E516" s="136">
        <f>BARDEZ!D218</f>
        <v>81.90512632895951</v>
      </c>
      <c r="F516" s="136">
        <f>BARDEZ!E218</f>
        <v>0</v>
      </c>
      <c r="G516" s="136">
        <f>BARDEZ!F218</f>
        <v>81.90512632895951</v>
      </c>
      <c r="H516" s="136">
        <f>BARDEZ!G218</f>
        <v>0</v>
      </c>
      <c r="I516" s="136">
        <f>BARDEZ!H218</f>
        <v>0</v>
      </c>
      <c r="J516" s="136">
        <f>BARDEZ!I218</f>
        <v>81.90512632895951</v>
      </c>
      <c r="K516" s="136">
        <f>BARDEZ!J218</f>
        <v>0</v>
      </c>
      <c r="L516" s="136">
        <f>BARDEZ!K218</f>
        <v>131.6515720027501</v>
      </c>
      <c r="M516" s="136">
        <f>BARDEZ!L218</f>
        <v>201.06785542238194</v>
      </c>
      <c r="N516" s="136">
        <f>BARDEZ!M218</f>
        <v>296.81445324256384</v>
      </c>
      <c r="O516" s="136">
        <f>BARDEZ!N218</f>
        <v>39.2375</v>
      </c>
      <c r="P516" s="136">
        <f>BARDEZ!O218</f>
        <v>240</v>
      </c>
      <c r="Q516" s="136">
        <f>BARDEZ!P218</f>
        <v>495</v>
      </c>
      <c r="R516" s="136">
        <f>BARDEZ!R218</f>
        <v>1485.6765069966555</v>
      </c>
      <c r="T516" s="66">
        <v>91</v>
      </c>
      <c r="U516" s="66">
        <v>0</v>
      </c>
      <c r="V516" s="66">
        <v>91</v>
      </c>
      <c r="W516" s="66">
        <v>0</v>
      </c>
      <c r="X516" s="66">
        <v>1000</v>
      </c>
      <c r="Y516" s="66">
        <v>1091</v>
      </c>
    </row>
    <row r="517" spans="1:25" ht="18.75">
      <c r="A517" s="138"/>
      <c r="B517" s="138">
        <v>27</v>
      </c>
      <c r="C517" s="138" t="s">
        <v>339</v>
      </c>
      <c r="D517" s="137" t="s">
        <v>508</v>
      </c>
      <c r="E517" s="136">
        <f>BARDEZ!D219</f>
        <v>0</v>
      </c>
      <c r="F517" s="136">
        <f>BARDEZ!E219</f>
        <v>0</v>
      </c>
      <c r="G517" s="136">
        <f>BARDEZ!F219</f>
        <v>0</v>
      </c>
      <c r="H517" s="136">
        <f>BARDEZ!G219</f>
        <v>0</v>
      </c>
      <c r="I517" s="136">
        <f>BARDEZ!H219</f>
        <v>0</v>
      </c>
      <c r="J517" s="136">
        <f>BARDEZ!I219</f>
        <v>0</v>
      </c>
      <c r="K517" s="136">
        <f>BARDEZ!J219</f>
        <v>1045.7665529212716</v>
      </c>
      <c r="L517" s="136">
        <f>BARDEZ!K219</f>
        <v>499.5371976489997</v>
      </c>
      <c r="M517" s="136">
        <f>BARDEZ!L219</f>
        <v>762.9295382275632</v>
      </c>
      <c r="N517" s="136">
        <f>BARDEZ!M219</f>
        <v>1126.2293183359266</v>
      </c>
      <c r="O517" s="136">
        <f>BARDEZ!N219</f>
        <v>39.2375</v>
      </c>
      <c r="P517" s="136">
        <f>BARDEZ!O219</f>
        <v>240</v>
      </c>
      <c r="Q517" s="136">
        <f>BARDEZ!P219</f>
        <v>495</v>
      </c>
      <c r="R517" s="136">
        <f>BARDEZ!R219</f>
        <v>4208.700107133762</v>
      </c>
      <c r="T517" s="66">
        <v>0</v>
      </c>
      <c r="U517" s="66">
        <v>0</v>
      </c>
      <c r="V517" s="66">
        <v>0</v>
      </c>
      <c r="W517" s="66">
        <v>242.548576</v>
      </c>
      <c r="X517" s="66">
        <v>3794.3884</v>
      </c>
      <c r="Y517" s="66">
        <v>4036.936976</v>
      </c>
    </row>
    <row r="518" spans="1:25" ht="18.75">
      <c r="A518" s="138">
        <v>17</v>
      </c>
      <c r="B518" s="138"/>
      <c r="C518" s="138" t="s">
        <v>78</v>
      </c>
      <c r="D518" s="137"/>
      <c r="E518" s="136">
        <f>BARDEZ!D220</f>
        <v>981.961459614229</v>
      </c>
      <c r="F518" s="136">
        <f>BARDEZ!E220</f>
        <v>2627.634205481435</v>
      </c>
      <c r="G518" s="136">
        <f>BARDEZ!F220</f>
        <v>3609.595665095664</v>
      </c>
      <c r="H518" s="136">
        <f>BARDEZ!G220</f>
        <v>318.0663229164744</v>
      </c>
      <c r="I518" s="136">
        <f>BARDEZ!H220</f>
        <v>297.91398532816834</v>
      </c>
      <c r="J518" s="136">
        <f>BARDEZ!I220</f>
        <v>4225.5759733403065</v>
      </c>
      <c r="K518" s="136">
        <f>BARDEZ!J220</f>
        <v>10659.62303769048</v>
      </c>
      <c r="L518" s="136">
        <f>BARDEZ!K220</f>
        <v>6645.292820309529</v>
      </c>
      <c r="M518" s="136">
        <f>BARDEZ!L220</f>
        <v>10149.174489200006</v>
      </c>
      <c r="N518" s="136">
        <f>BARDEZ!M220</f>
        <v>14982.11472215239</v>
      </c>
      <c r="O518" s="136">
        <f>BARDEZ!N220</f>
        <v>667.0374999999999</v>
      </c>
      <c r="P518" s="136">
        <f>BARDEZ!O220</f>
        <v>4080</v>
      </c>
      <c r="Q518" s="136">
        <f>BARDEZ!P220</f>
        <v>8415</v>
      </c>
      <c r="R518" s="136">
        <f>BARDEZ!R220</f>
        <v>59823.81854269274</v>
      </c>
      <c r="T518" s="66">
        <v>1091</v>
      </c>
      <c r="U518" s="66">
        <v>2952.05611099488</v>
      </c>
      <c r="V518" s="66">
        <v>4044.05611099488</v>
      </c>
      <c r="W518" s="66">
        <v>2475.326525711</v>
      </c>
      <c r="X518" s="66">
        <v>50475.3651448895</v>
      </c>
      <c r="Y518" s="66">
        <v>56993.7477815954</v>
      </c>
    </row>
    <row r="519" spans="1:25" ht="18.75">
      <c r="A519" s="138"/>
      <c r="B519" s="138"/>
      <c r="C519" s="138"/>
      <c r="D519" s="141"/>
      <c r="E519" s="138"/>
      <c r="F519" s="138"/>
      <c r="G519" s="138"/>
      <c r="H519" s="138"/>
      <c r="I519" s="138"/>
      <c r="J519" s="138"/>
      <c r="K519" s="138"/>
      <c r="L519" s="138"/>
      <c r="M519" s="138"/>
      <c r="N519" s="138"/>
      <c r="O519" s="138"/>
      <c r="P519" s="138"/>
      <c r="Q519" s="138"/>
      <c r="R519" s="138"/>
      <c r="T519" s="67"/>
      <c r="U519" s="67"/>
      <c r="V519" s="67"/>
      <c r="W519" s="67"/>
      <c r="X519" s="67"/>
      <c r="Y519" s="67"/>
    </row>
    <row r="520" spans="1:25" ht="18.75">
      <c r="A520" s="138"/>
      <c r="B520" s="138"/>
      <c r="C520" s="138"/>
      <c r="D520" s="141"/>
      <c r="E520" s="138"/>
      <c r="F520" s="138"/>
      <c r="G520" s="138"/>
      <c r="H520" s="138"/>
      <c r="I520" s="138"/>
      <c r="J520" s="138"/>
      <c r="K520" s="138"/>
      <c r="L520" s="138"/>
      <c r="M520" s="138"/>
      <c r="N520" s="138"/>
      <c r="O520" s="138"/>
      <c r="P520" s="138"/>
      <c r="Q520" s="138"/>
      <c r="R520" s="138"/>
      <c r="T520" s="67"/>
      <c r="U520" s="67"/>
      <c r="V520" s="67"/>
      <c r="W520" s="67"/>
      <c r="X520" s="67"/>
      <c r="Y520" s="67"/>
    </row>
    <row r="521" spans="1:25" ht="18.75">
      <c r="A521" s="138"/>
      <c r="B521" s="138"/>
      <c r="C521" s="138" t="s">
        <v>520</v>
      </c>
      <c r="D521" s="141"/>
      <c r="E521" s="138"/>
      <c r="F521" s="138"/>
      <c r="G521" s="138"/>
      <c r="H521" s="138"/>
      <c r="I521" s="138"/>
      <c r="J521" s="138"/>
      <c r="K521" s="138"/>
      <c r="L521" s="138"/>
      <c r="M521" s="138"/>
      <c r="N521" s="138"/>
      <c r="O521" s="138"/>
      <c r="P521" s="138"/>
      <c r="Q521" s="138"/>
      <c r="R521" s="138"/>
      <c r="T521" s="67"/>
      <c r="U521" s="67"/>
      <c r="V521" s="67"/>
      <c r="W521" s="67"/>
      <c r="X521" s="67"/>
      <c r="Y521" s="67"/>
    </row>
    <row r="522" spans="1:25" ht="18.75">
      <c r="A522" s="138"/>
      <c r="B522" s="138">
        <v>32</v>
      </c>
      <c r="C522" s="138" t="s">
        <v>389</v>
      </c>
      <c r="D522" s="137" t="s">
        <v>507</v>
      </c>
      <c r="E522" s="136">
        <f>BICHOLIM!D80</f>
        <v>0</v>
      </c>
      <c r="F522" s="136">
        <f>BICHOLIM!E80</f>
        <v>0</v>
      </c>
      <c r="G522" s="136">
        <f>BICHOLIM!F80</f>
        <v>0</v>
      </c>
      <c r="H522" s="136">
        <f>BICHOLIM!G80</f>
        <v>0</v>
      </c>
      <c r="I522" s="136">
        <f>BICHOLIM!H80</f>
        <v>0</v>
      </c>
      <c r="J522" s="136">
        <f>BICHOLIM!I80</f>
        <v>0</v>
      </c>
      <c r="K522" s="136">
        <f>BICHOLIM!J80</f>
        <v>1045.7665529212716</v>
      </c>
      <c r="L522" s="136">
        <f>BICHOLIM!K80</f>
        <v>0</v>
      </c>
      <c r="M522" s="136">
        <f>BICHOLIM!L80</f>
        <v>0</v>
      </c>
      <c r="N522" s="136">
        <f>BICHOLIM!M80</f>
        <v>0</v>
      </c>
      <c r="O522" s="136">
        <f>BICHOLIM!N80</f>
        <v>0</v>
      </c>
      <c r="P522" s="136">
        <f>BICHOLIM!O80</f>
        <v>0</v>
      </c>
      <c r="Q522" s="136">
        <f>BICHOLIM!P80</f>
        <v>0</v>
      </c>
      <c r="R522" s="136">
        <f>BICHOLIM!R80</f>
        <v>1045.7665529212716</v>
      </c>
      <c r="T522" s="66">
        <v>0</v>
      </c>
      <c r="U522" s="66">
        <v>0</v>
      </c>
      <c r="V522" s="66">
        <v>0</v>
      </c>
      <c r="W522" s="66">
        <v>242.548576</v>
      </c>
      <c r="X522" s="66">
        <v>1794.3884</v>
      </c>
      <c r="Y522" s="66">
        <v>2036.936976</v>
      </c>
    </row>
    <row r="523" spans="1:25" ht="18.75">
      <c r="A523" s="138"/>
      <c r="B523" s="138">
        <v>33</v>
      </c>
      <c r="C523" s="138" t="s">
        <v>390</v>
      </c>
      <c r="D523" s="137" t="s">
        <v>508</v>
      </c>
      <c r="E523" s="136">
        <f>BICHOLIM!D81</f>
        <v>0</v>
      </c>
      <c r="F523" s="136">
        <f>BICHOLIM!E81</f>
        <v>0</v>
      </c>
      <c r="G523" s="136">
        <f>BICHOLIM!F81</f>
        <v>0</v>
      </c>
      <c r="H523" s="136">
        <f>BICHOLIM!G81</f>
        <v>0</v>
      </c>
      <c r="I523" s="136">
        <f>BICHOLIM!H81</f>
        <v>0</v>
      </c>
      <c r="J523" s="136">
        <f>BICHOLIM!I81</f>
        <v>0</v>
      </c>
      <c r="K523" s="136">
        <f>BICHOLIM!J81</f>
        <v>0</v>
      </c>
      <c r="L523" s="136">
        <f>BICHOLIM!K81</f>
        <v>131.6515720027501</v>
      </c>
      <c r="M523" s="136">
        <f>BICHOLIM!L81</f>
        <v>201.06785542238194</v>
      </c>
      <c r="N523" s="136">
        <f>BICHOLIM!M81</f>
        <v>296.81445324256384</v>
      </c>
      <c r="O523" s="136">
        <f>BICHOLIM!N81</f>
        <v>140</v>
      </c>
      <c r="P523" s="136">
        <f>BICHOLIM!O81</f>
        <v>999</v>
      </c>
      <c r="Q523" s="136">
        <f>BICHOLIM!P81</f>
        <v>2009</v>
      </c>
      <c r="R523" s="136">
        <f>BICHOLIM!R81</f>
        <v>3777.533880667696</v>
      </c>
      <c r="T523" s="66">
        <v>0</v>
      </c>
      <c r="U523" s="66">
        <v>0</v>
      </c>
      <c r="V523" s="66">
        <v>0</v>
      </c>
      <c r="W523" s="66">
        <v>0</v>
      </c>
      <c r="X523" s="66">
        <v>1000</v>
      </c>
      <c r="Y523" s="66">
        <v>1000</v>
      </c>
    </row>
    <row r="524" spans="1:25" ht="18.75">
      <c r="A524" s="138"/>
      <c r="B524" s="138">
        <v>34</v>
      </c>
      <c r="C524" s="138" t="s">
        <v>391</v>
      </c>
      <c r="D524" s="137" t="s">
        <v>508</v>
      </c>
      <c r="E524" s="136">
        <f>BICHOLIM!D82</f>
        <v>0</v>
      </c>
      <c r="F524" s="136">
        <f>BICHOLIM!E82</f>
        <v>0</v>
      </c>
      <c r="G524" s="136">
        <f>BICHOLIM!F82</f>
        <v>0</v>
      </c>
      <c r="H524" s="136">
        <f>BICHOLIM!G82</f>
        <v>0</v>
      </c>
      <c r="I524" s="136">
        <f>BICHOLIM!H82</f>
        <v>0</v>
      </c>
      <c r="J524" s="136">
        <f>BICHOLIM!I82</f>
        <v>0</v>
      </c>
      <c r="K524" s="136">
        <f>BICHOLIM!J82</f>
        <v>0</v>
      </c>
      <c r="L524" s="136">
        <f>BICHOLIM!K82</f>
        <v>131.6515720027501</v>
      </c>
      <c r="M524" s="136">
        <f>BICHOLIM!L82</f>
        <v>201.06785542238194</v>
      </c>
      <c r="N524" s="136">
        <f>BICHOLIM!M82</f>
        <v>296.81445324256384</v>
      </c>
      <c r="O524" s="136">
        <f>BICHOLIM!N82</f>
        <v>140</v>
      </c>
      <c r="P524" s="136">
        <f>BICHOLIM!O82</f>
        <v>999</v>
      </c>
      <c r="Q524" s="136">
        <f>BICHOLIM!P82</f>
        <v>2009</v>
      </c>
      <c r="R524" s="136">
        <f>BICHOLIM!R82</f>
        <v>3777.533880667696</v>
      </c>
      <c r="T524" s="66">
        <v>0</v>
      </c>
      <c r="U524" s="66">
        <v>0</v>
      </c>
      <c r="V524" s="66">
        <v>0</v>
      </c>
      <c r="W524" s="66">
        <v>0</v>
      </c>
      <c r="X524" s="66">
        <v>1000</v>
      </c>
      <c r="Y524" s="66">
        <v>1000</v>
      </c>
    </row>
    <row r="525" spans="1:25" ht="18.75">
      <c r="A525" s="138"/>
      <c r="B525" s="138">
        <v>35</v>
      </c>
      <c r="C525" s="138" t="s">
        <v>392</v>
      </c>
      <c r="D525" s="137" t="s">
        <v>507</v>
      </c>
      <c r="E525" s="136">
        <f>BICHOLIM!D83</f>
        <v>0</v>
      </c>
      <c r="F525" s="136">
        <f>BICHOLIM!E83</f>
        <v>0</v>
      </c>
      <c r="G525" s="136">
        <f>BICHOLIM!F83</f>
        <v>0</v>
      </c>
      <c r="H525" s="136">
        <f>BICHOLIM!G83</f>
        <v>0</v>
      </c>
      <c r="I525" s="136">
        <f>BICHOLIM!H83</f>
        <v>0</v>
      </c>
      <c r="J525" s="136">
        <f>BICHOLIM!I83</f>
        <v>0</v>
      </c>
      <c r="K525" s="136">
        <f>BICHOLIM!J83</f>
        <v>11514.679887039913</v>
      </c>
      <c r="L525" s="136">
        <f>BICHOLIM!K83</f>
        <v>0</v>
      </c>
      <c r="M525" s="136">
        <f>BICHOLIM!L83</f>
        <v>0</v>
      </c>
      <c r="N525" s="136">
        <f>BICHOLIM!M83</f>
        <v>0</v>
      </c>
      <c r="O525" s="136">
        <f>BICHOLIM!N83</f>
        <v>140</v>
      </c>
      <c r="P525" s="136">
        <f>BICHOLIM!O83</f>
        <v>1100</v>
      </c>
      <c r="Q525" s="136">
        <f>BICHOLIM!P83</f>
        <v>2009</v>
      </c>
      <c r="R525" s="136">
        <f>BICHOLIM!R83</f>
        <v>14763.679887039913</v>
      </c>
      <c r="T525" s="66">
        <v>0</v>
      </c>
      <c r="U525" s="66">
        <v>0</v>
      </c>
      <c r="V525" s="66">
        <v>0</v>
      </c>
      <c r="W525" s="66">
        <v>2670.64308176208</v>
      </c>
      <c r="X525" s="66">
        <v>0</v>
      </c>
      <c r="Y525" s="66">
        <v>2670.64308176208</v>
      </c>
    </row>
    <row r="526" spans="1:25" ht="18.75">
      <c r="A526" s="138">
        <v>4</v>
      </c>
      <c r="B526" s="138"/>
      <c r="C526" s="138" t="s">
        <v>78</v>
      </c>
      <c r="D526" s="137"/>
      <c r="E526" s="136">
        <f aca="true" t="shared" si="26" ref="E526:R526">SUM(E522:E525)</f>
        <v>0</v>
      </c>
      <c r="F526" s="136">
        <f t="shared" si="26"/>
        <v>0</v>
      </c>
      <c r="G526" s="136">
        <f t="shared" si="26"/>
        <v>0</v>
      </c>
      <c r="H526" s="136">
        <f t="shared" si="26"/>
        <v>0</v>
      </c>
      <c r="I526" s="136">
        <f t="shared" si="26"/>
        <v>0</v>
      </c>
      <c r="J526" s="136">
        <f t="shared" si="26"/>
        <v>0</v>
      </c>
      <c r="K526" s="136">
        <f t="shared" si="26"/>
        <v>12560.446439961184</v>
      </c>
      <c r="L526" s="136">
        <f t="shared" si="26"/>
        <v>263.3031440055002</v>
      </c>
      <c r="M526" s="136">
        <f t="shared" si="26"/>
        <v>402.1357108447639</v>
      </c>
      <c r="N526" s="136">
        <f t="shared" si="26"/>
        <v>593.6289064851277</v>
      </c>
      <c r="O526" s="136">
        <f t="shared" si="26"/>
        <v>420</v>
      </c>
      <c r="P526" s="136">
        <f t="shared" si="26"/>
        <v>3098</v>
      </c>
      <c r="Q526" s="136">
        <f t="shared" si="26"/>
        <v>6027</v>
      </c>
      <c r="R526" s="136">
        <f t="shared" si="26"/>
        <v>23364.514201296577</v>
      </c>
      <c r="T526" s="66">
        <v>0</v>
      </c>
      <c r="U526" s="66">
        <v>0</v>
      </c>
      <c r="V526" s="66">
        <v>0</v>
      </c>
      <c r="W526" s="66">
        <v>2914.19165776208</v>
      </c>
      <c r="X526" s="66">
        <v>3794.3884</v>
      </c>
      <c r="Y526" s="66">
        <v>6707.58005776208</v>
      </c>
    </row>
    <row r="527" spans="1:25" ht="18.75">
      <c r="A527" s="138"/>
      <c r="B527" s="138"/>
      <c r="C527" s="138"/>
      <c r="D527" s="141"/>
      <c r="E527" s="138"/>
      <c r="F527" s="138"/>
      <c r="G527" s="138"/>
      <c r="H527" s="138"/>
      <c r="I527" s="138"/>
      <c r="J527" s="138"/>
      <c r="K527" s="138"/>
      <c r="L527" s="138"/>
      <c r="M527" s="138"/>
      <c r="N527" s="138"/>
      <c r="O527" s="138"/>
      <c r="P527" s="138"/>
      <c r="Q527" s="138"/>
      <c r="R527" s="138"/>
      <c r="T527" s="67"/>
      <c r="U527" s="67"/>
      <c r="V527" s="67"/>
      <c r="W527" s="67"/>
      <c r="X527" s="67"/>
      <c r="Y527" s="67"/>
    </row>
    <row r="528" spans="1:25" ht="18.75">
      <c r="A528" s="138"/>
      <c r="B528" s="138"/>
      <c r="C528" s="138" t="s">
        <v>521</v>
      </c>
      <c r="D528" s="141"/>
      <c r="E528" s="138"/>
      <c r="F528" s="138"/>
      <c r="G528" s="138"/>
      <c r="H528" s="138"/>
      <c r="I528" s="138"/>
      <c r="J528" s="138"/>
      <c r="K528" s="138"/>
      <c r="L528" s="138"/>
      <c r="M528" s="138"/>
      <c r="N528" s="138"/>
      <c r="O528" s="138"/>
      <c r="P528" s="138"/>
      <c r="Q528" s="138"/>
      <c r="R528" s="138"/>
      <c r="T528" s="67"/>
      <c r="U528" s="67"/>
      <c r="V528" s="67"/>
      <c r="W528" s="67"/>
      <c r="X528" s="67"/>
      <c r="Y528" s="67"/>
    </row>
    <row r="529" spans="1:25" s="85" customFormat="1" ht="18.75">
      <c r="A529" s="138">
        <v>1</v>
      </c>
      <c r="B529" s="138">
        <v>36</v>
      </c>
      <c r="C529" s="138" t="s">
        <v>445</v>
      </c>
      <c r="D529" s="137" t="s">
        <v>508</v>
      </c>
      <c r="E529" s="136">
        <f>'TRAIL SATTARI'!D36</f>
        <v>0</v>
      </c>
      <c r="F529" s="136">
        <f>'TRAIL SATTARI'!E36</f>
        <v>0</v>
      </c>
      <c r="G529" s="136">
        <f>'TRAIL SATTARI'!F36</f>
        <v>0</v>
      </c>
      <c r="H529" s="136">
        <f>'TRAIL SATTARI'!G36</f>
        <v>0</v>
      </c>
      <c r="I529" s="136">
        <f>'TRAIL SATTARI'!H36</f>
        <v>0</v>
      </c>
      <c r="J529" s="136">
        <f>'TRAIL SATTARI'!I36</f>
        <v>0</v>
      </c>
      <c r="K529" s="136">
        <f>'TRAIL SATTARI'!J36</f>
        <v>2614.416382303179</v>
      </c>
      <c r="L529" s="136">
        <f>'TRAIL SATTARI'!K36</f>
        <v>1000</v>
      </c>
      <c r="M529" s="136">
        <f>'TRAIL SATTARI'!L36</f>
        <v>1525.8590764551263</v>
      </c>
      <c r="N529" s="136">
        <f>'TRAIL SATTARI'!M36</f>
        <v>4252.458636671853</v>
      </c>
      <c r="O529" s="136">
        <f>'TRAIL SATTARI'!N36</f>
        <v>418.53333333333336</v>
      </c>
      <c r="P529" s="136">
        <f>'TRAIL SATTARI'!O36</f>
        <v>2586.6666666666665</v>
      </c>
      <c r="Q529" s="136">
        <f>'TRAIL SATTARI'!P36</f>
        <v>5345</v>
      </c>
      <c r="R529" s="136">
        <v>17743</v>
      </c>
      <c r="T529" s="86">
        <v>0</v>
      </c>
      <c r="U529" s="86">
        <v>0</v>
      </c>
      <c r="V529" s="86">
        <v>0</v>
      </c>
      <c r="W529" s="86">
        <v>606.37144</v>
      </c>
      <c r="X529" s="86">
        <v>7588.7768</v>
      </c>
      <c r="Y529" s="86">
        <v>8195.14824</v>
      </c>
    </row>
    <row r="530" spans="1:25" ht="18.75">
      <c r="A530" s="138"/>
      <c r="B530" s="138"/>
      <c r="C530" s="138"/>
      <c r="D530" s="141"/>
      <c r="E530" s="138"/>
      <c r="F530" s="138"/>
      <c r="G530" s="138"/>
      <c r="H530" s="138"/>
      <c r="I530" s="138"/>
      <c r="J530" s="138"/>
      <c r="K530" s="138"/>
      <c r="L530" s="138"/>
      <c r="M530" s="138"/>
      <c r="N530" s="138"/>
      <c r="O530" s="138"/>
      <c r="P530" s="138"/>
      <c r="Q530" s="138"/>
      <c r="R530" s="138"/>
      <c r="T530" s="67"/>
      <c r="U530" s="67"/>
      <c r="V530" s="67"/>
      <c r="W530" s="67"/>
      <c r="X530" s="67"/>
      <c r="Y530" s="67"/>
    </row>
    <row r="531" spans="1:25" ht="18.75">
      <c r="A531" s="138"/>
      <c r="B531" s="138"/>
      <c r="C531" s="138" t="s">
        <v>522</v>
      </c>
      <c r="D531" s="141"/>
      <c r="E531" s="138"/>
      <c r="F531" s="138"/>
      <c r="G531" s="138"/>
      <c r="H531" s="138"/>
      <c r="I531" s="138"/>
      <c r="J531" s="138"/>
      <c r="K531" s="138"/>
      <c r="L531" s="138"/>
      <c r="M531" s="138"/>
      <c r="N531" s="138"/>
      <c r="O531" s="138"/>
      <c r="P531" s="138"/>
      <c r="Q531" s="138"/>
      <c r="R531" s="138"/>
      <c r="T531" s="67"/>
      <c r="U531" s="67"/>
      <c r="V531" s="67"/>
      <c r="W531" s="67"/>
      <c r="X531" s="67"/>
      <c r="Y531" s="67"/>
    </row>
    <row r="532" spans="1:25" ht="18.75">
      <c r="A532" s="138"/>
      <c r="B532" s="138">
        <v>37</v>
      </c>
      <c r="C532" s="138" t="s">
        <v>413</v>
      </c>
      <c r="D532" s="137" t="s">
        <v>508</v>
      </c>
      <c r="E532" s="136">
        <f>PERNEM!D40</f>
        <v>0</v>
      </c>
      <c r="F532" s="136">
        <f>PERNEM!E40</f>
        <v>0</v>
      </c>
      <c r="G532" s="136">
        <f>PERNEM!F40</f>
        <v>0</v>
      </c>
      <c r="H532" s="136">
        <f>PERNEM!G40</f>
        <v>0</v>
      </c>
      <c r="I532" s="136">
        <f>PERNEM!H40</f>
        <v>0</v>
      </c>
      <c r="J532" s="136">
        <f>PERNEM!I40</f>
        <v>0</v>
      </c>
      <c r="K532" s="136">
        <f>PERNEM!J40</f>
        <v>0</v>
      </c>
      <c r="L532" s="136">
        <f>PERNEM!K40</f>
        <v>65.8249094769326</v>
      </c>
      <c r="M532" s="136">
        <f>PERNEM!L40</f>
        <v>100.53258901931524</v>
      </c>
      <c r="N532" s="136">
        <f>PERNEM!M40</f>
        <v>148.4052504570844</v>
      </c>
      <c r="O532" s="136">
        <f>PERNEM!N40</f>
        <v>232</v>
      </c>
      <c r="P532" s="136">
        <f>PERNEM!O40</f>
        <v>1437</v>
      </c>
      <c r="Q532" s="136">
        <f>PERNEM!P40</f>
        <v>2969</v>
      </c>
      <c r="R532" s="136">
        <f>PERNEM!R40</f>
        <v>4952.762748953332</v>
      </c>
      <c r="T532" s="66">
        <v>0</v>
      </c>
      <c r="U532" s="66">
        <v>0</v>
      </c>
      <c r="V532" s="66">
        <v>0</v>
      </c>
      <c r="W532" s="66">
        <v>0</v>
      </c>
      <c r="X532" s="66">
        <v>500</v>
      </c>
      <c r="Y532" s="66">
        <v>500</v>
      </c>
    </row>
    <row r="533" spans="1:25" ht="18.75">
      <c r="A533" s="138"/>
      <c r="B533" s="138">
        <v>38</v>
      </c>
      <c r="C533" s="138" t="s">
        <v>414</v>
      </c>
      <c r="D533" s="137" t="s">
        <v>508</v>
      </c>
      <c r="E533" s="136">
        <f>PERNEM!D41</f>
        <v>0</v>
      </c>
      <c r="F533" s="136">
        <f>PERNEM!E41</f>
        <v>0</v>
      </c>
      <c r="G533" s="136">
        <f>PERNEM!F41</f>
        <v>0</v>
      </c>
      <c r="H533" s="136">
        <f>PERNEM!G41</f>
        <v>0</v>
      </c>
      <c r="I533" s="136">
        <f>PERNEM!H41</f>
        <v>0</v>
      </c>
      <c r="J533" s="136">
        <f>PERNEM!I41</f>
        <v>0</v>
      </c>
      <c r="K533" s="136">
        <f>PERNEM!J41</f>
        <v>0</v>
      </c>
      <c r="L533" s="136">
        <f>PERNEM!K41</f>
        <v>966.7458084000868</v>
      </c>
      <c r="M533" s="136">
        <f>PERNEM!L41</f>
        <v>1476.4845073746778</v>
      </c>
      <c r="N533" s="136">
        <f>PERNEM!M41</f>
        <v>2179.5723680292867</v>
      </c>
      <c r="O533" s="136">
        <f>PERNEM!N41</f>
        <v>232</v>
      </c>
      <c r="P533" s="136">
        <f>PERNEM!O41</f>
        <v>1437</v>
      </c>
      <c r="Q533" s="136">
        <f>PERNEM!P41</f>
        <v>2969</v>
      </c>
      <c r="R533" s="136">
        <f>PERNEM!R41</f>
        <v>9260.802683804051</v>
      </c>
      <c r="T533" s="66">
        <v>0</v>
      </c>
      <c r="U533" s="66">
        <v>0</v>
      </c>
      <c r="V533" s="66">
        <v>0</v>
      </c>
      <c r="W533" s="66">
        <v>0</v>
      </c>
      <c r="X533" s="66">
        <v>7343.31285893275</v>
      </c>
      <c r="Y533" s="66">
        <v>7343.31285893275</v>
      </c>
    </row>
    <row r="534" spans="1:25" s="80" customFormat="1" ht="18.75">
      <c r="A534" s="138">
        <v>2</v>
      </c>
      <c r="B534" s="138"/>
      <c r="C534" s="138" t="s">
        <v>17</v>
      </c>
      <c r="D534" s="137"/>
      <c r="E534" s="136">
        <f aca="true" t="shared" si="27" ref="E534:R534">E532+E533</f>
        <v>0</v>
      </c>
      <c r="F534" s="136">
        <f t="shared" si="27"/>
        <v>0</v>
      </c>
      <c r="G534" s="136">
        <f t="shared" si="27"/>
        <v>0</v>
      </c>
      <c r="H534" s="136">
        <f t="shared" si="27"/>
        <v>0</v>
      </c>
      <c r="I534" s="136">
        <f t="shared" si="27"/>
        <v>0</v>
      </c>
      <c r="J534" s="136">
        <f t="shared" si="27"/>
        <v>0</v>
      </c>
      <c r="K534" s="136">
        <f t="shared" si="27"/>
        <v>0</v>
      </c>
      <c r="L534" s="136">
        <f t="shared" si="27"/>
        <v>1032.5707178770194</v>
      </c>
      <c r="M534" s="136">
        <f t="shared" si="27"/>
        <v>1577.0170963939931</v>
      </c>
      <c r="N534" s="136">
        <f t="shared" si="27"/>
        <v>2327.9776184863713</v>
      </c>
      <c r="O534" s="136">
        <f t="shared" si="27"/>
        <v>464</v>
      </c>
      <c r="P534" s="136">
        <f t="shared" si="27"/>
        <v>2874</v>
      </c>
      <c r="Q534" s="136">
        <f t="shared" si="27"/>
        <v>5938</v>
      </c>
      <c r="R534" s="136">
        <f t="shared" si="27"/>
        <v>14213.565432757383</v>
      </c>
      <c r="T534" s="81">
        <v>0</v>
      </c>
      <c r="U534" s="81">
        <v>0</v>
      </c>
      <c r="V534" s="81">
        <v>0</v>
      </c>
      <c r="W534" s="81">
        <v>0</v>
      </c>
      <c r="X534" s="81">
        <v>7843.31285893275</v>
      </c>
      <c r="Y534" s="81">
        <v>7843.31285893275</v>
      </c>
    </row>
    <row r="535" spans="1:25" ht="18.75">
      <c r="A535" s="138"/>
      <c r="B535" s="138"/>
      <c r="C535" s="138"/>
      <c r="D535" s="141"/>
      <c r="E535" s="138"/>
      <c r="F535" s="138"/>
      <c r="G535" s="138"/>
      <c r="H535" s="138"/>
      <c r="I535" s="138"/>
      <c r="J535" s="138"/>
      <c r="K535" s="138"/>
      <c r="L535" s="138"/>
      <c r="M535" s="138"/>
      <c r="N535" s="138"/>
      <c r="O535" s="138"/>
      <c r="P535" s="138"/>
      <c r="Q535" s="138"/>
      <c r="R535" s="138"/>
      <c r="T535" s="67"/>
      <c r="U535" s="67"/>
      <c r="V535" s="67"/>
      <c r="W535" s="67"/>
      <c r="X535" s="67"/>
      <c r="Y535" s="67"/>
    </row>
    <row r="536" spans="1:25" s="72" customFormat="1" ht="18.75">
      <c r="A536" s="145">
        <v>38</v>
      </c>
      <c r="B536" s="143"/>
      <c r="C536" s="143" t="s">
        <v>17</v>
      </c>
      <c r="D536" s="144"/>
      <c r="E536" s="145">
        <f aca="true" t="shared" si="28" ref="E536:R536">E498+E518+E526+E529+E534</f>
        <v>1081.9614596142292</v>
      </c>
      <c r="F536" s="145">
        <f t="shared" si="28"/>
        <v>3495.7455173763983</v>
      </c>
      <c r="G536" s="145">
        <f t="shared" si="28"/>
        <v>4577.7069769906275</v>
      </c>
      <c r="H536" s="145">
        <f t="shared" si="28"/>
        <v>423.148290673108</v>
      </c>
      <c r="I536" s="145">
        <f t="shared" si="28"/>
        <v>407.33807346630715</v>
      </c>
      <c r="J536" s="145">
        <f t="shared" si="28"/>
        <v>5408.193341130042</v>
      </c>
      <c r="K536" s="145">
        <f t="shared" si="28"/>
        <v>63553.39604393194</v>
      </c>
      <c r="L536" s="145">
        <f t="shared" si="28"/>
        <v>14976.56387890716</v>
      </c>
      <c r="M536" s="145">
        <f t="shared" si="28"/>
        <v>23635.520273331513</v>
      </c>
      <c r="N536" s="145">
        <f t="shared" si="28"/>
        <v>36890.5299272989</v>
      </c>
      <c r="O536" s="145">
        <f t="shared" si="28"/>
        <v>2409.570833333333</v>
      </c>
      <c r="P536" s="145">
        <f t="shared" si="28"/>
        <v>15378.666666666666</v>
      </c>
      <c r="Q536" s="145">
        <f t="shared" si="28"/>
        <v>31445</v>
      </c>
      <c r="R536" s="145">
        <f t="shared" si="28"/>
        <v>193697.50686916945</v>
      </c>
      <c r="T536" s="71">
        <v>42529.5764851414</v>
      </c>
      <c r="U536" s="71">
        <v>43115.8096994743</v>
      </c>
      <c r="V536" s="71">
        <v>85645.3861846157</v>
      </c>
      <c r="W536" s="71">
        <v>15106.0014127972</v>
      </c>
      <c r="X536" s="71">
        <v>130724.627545131</v>
      </c>
      <c r="Y536" s="71">
        <v>231477.015142544</v>
      </c>
    </row>
    <row r="537" spans="1:25" ht="18.75">
      <c r="A537" s="138"/>
      <c r="B537" s="138"/>
      <c r="C537" s="138"/>
      <c r="D537" s="141"/>
      <c r="E537" s="138"/>
      <c r="F537" s="138"/>
      <c r="G537" s="138"/>
      <c r="H537" s="138"/>
      <c r="I537" s="138"/>
      <c r="J537" s="138"/>
      <c r="K537" s="138"/>
      <c r="L537" s="138"/>
      <c r="M537" s="138"/>
      <c r="N537" s="138"/>
      <c r="O537" s="138"/>
      <c r="P537" s="138"/>
      <c r="Q537" s="138"/>
      <c r="R537" s="138"/>
      <c r="T537" s="67"/>
      <c r="U537" s="67"/>
      <c r="V537" s="67"/>
      <c r="W537" s="67"/>
      <c r="X537" s="67"/>
      <c r="Y537" s="67"/>
    </row>
    <row r="538" spans="1:25" ht="18.75">
      <c r="A538" s="138"/>
      <c r="B538" s="138"/>
      <c r="C538" s="143" t="s">
        <v>477</v>
      </c>
      <c r="D538" s="141"/>
      <c r="E538" s="138"/>
      <c r="F538" s="138"/>
      <c r="G538" s="138"/>
      <c r="H538" s="138"/>
      <c r="I538" s="138"/>
      <c r="J538" s="138"/>
      <c r="K538" s="138"/>
      <c r="L538" s="138"/>
      <c r="M538" s="138"/>
      <c r="N538" s="138"/>
      <c r="O538" s="138"/>
      <c r="P538" s="138"/>
      <c r="Q538" s="138"/>
      <c r="R538" s="138"/>
      <c r="T538" s="67"/>
      <c r="U538" s="67"/>
      <c r="V538" s="67"/>
      <c r="W538" s="67"/>
      <c r="X538" s="67"/>
      <c r="Y538" s="67"/>
    </row>
    <row r="539" spans="1:25" ht="18.75">
      <c r="A539" s="138"/>
      <c r="B539" s="138"/>
      <c r="C539" s="138" t="s">
        <v>41</v>
      </c>
      <c r="D539" s="141"/>
      <c r="E539" s="136"/>
      <c r="F539" s="138"/>
      <c r="G539" s="138"/>
      <c r="H539" s="138"/>
      <c r="I539" s="138"/>
      <c r="J539" s="138"/>
      <c r="K539" s="138"/>
      <c r="L539" s="138"/>
      <c r="M539" s="138"/>
      <c r="N539" s="138"/>
      <c r="O539" s="138"/>
      <c r="P539" s="138"/>
      <c r="Q539" s="138"/>
      <c r="R539" s="138"/>
      <c r="T539" s="67"/>
      <c r="U539" s="67"/>
      <c r="V539" s="67"/>
      <c r="W539" s="67"/>
      <c r="X539" s="67"/>
      <c r="Y539" s="67"/>
    </row>
    <row r="540" spans="1:25" ht="18.75">
      <c r="A540" s="138"/>
      <c r="B540" s="138">
        <v>1</v>
      </c>
      <c r="C540" s="138" t="s">
        <v>179</v>
      </c>
      <c r="D540" s="137" t="s">
        <v>507</v>
      </c>
      <c r="E540" s="136">
        <f>'TISWADI '!D226</f>
        <v>0</v>
      </c>
      <c r="F540" s="136">
        <f>'TISWADI '!E226</f>
        <v>63.821719434532326</v>
      </c>
      <c r="G540" s="136">
        <f>'TISWADI '!F226</f>
        <v>63.821719434532326</v>
      </c>
      <c r="H540" s="136">
        <f>'TISWADI '!G226</f>
        <v>7.725405454230381</v>
      </c>
      <c r="I540" s="136">
        <f>'TISWADI '!H226</f>
        <v>10.235932135292824</v>
      </c>
      <c r="J540" s="136">
        <f>'TISWADI '!I226</f>
        <v>81.78305702405554</v>
      </c>
      <c r="K540" s="136">
        <f>'TISWADI '!J226</f>
        <v>431.8004957639967</v>
      </c>
      <c r="L540" s="136">
        <f>'TISWADI '!K226</f>
        <v>75.40717716374738</v>
      </c>
      <c r="M540" s="136">
        <f>'TISWADI '!L226</f>
        <v>115.16732512281416</v>
      </c>
      <c r="N540" s="136">
        <f>'TISWADI '!M226</f>
        <v>170.00890851463043</v>
      </c>
      <c r="O540" s="136">
        <f>'TISWADI '!N226</f>
        <v>44.84</v>
      </c>
      <c r="P540" s="136">
        <f>'TISWADI '!O226</f>
        <v>274</v>
      </c>
      <c r="Q540" s="136">
        <f>'TISWADI '!P226</f>
        <v>572</v>
      </c>
      <c r="R540" s="136">
        <f>'TISWADI '!S226</f>
        <v>1765.0069635892442</v>
      </c>
      <c r="T540" s="66">
        <v>0</v>
      </c>
      <c r="U540" s="66">
        <v>66.0841664923151</v>
      </c>
      <c r="V540" s="66">
        <v>66.0841664923151</v>
      </c>
      <c r="W540" s="66">
        <v>100.149115566078</v>
      </c>
      <c r="X540" s="66">
        <v>572.778402996754</v>
      </c>
      <c r="Y540" s="66">
        <v>739.011685055148</v>
      </c>
    </row>
    <row r="541" spans="1:25" ht="18.75">
      <c r="A541" s="138"/>
      <c r="B541" s="138">
        <v>2</v>
      </c>
      <c r="C541" s="138" t="s">
        <v>73</v>
      </c>
      <c r="D541" s="137" t="s">
        <v>507</v>
      </c>
      <c r="E541" s="136">
        <f>'TISWADI '!D227</f>
        <v>0</v>
      </c>
      <c r="F541" s="136">
        <f>'TISWADI '!E227</f>
        <v>0</v>
      </c>
      <c r="G541" s="136">
        <f>'TISWADI '!F227</f>
        <v>0</v>
      </c>
      <c r="H541" s="136">
        <f>'TISWADI '!G227</f>
        <v>0</v>
      </c>
      <c r="I541" s="136">
        <f>'TISWADI '!H227</f>
        <v>0</v>
      </c>
      <c r="J541" s="136">
        <f>'TISWADI '!I227</f>
        <v>0</v>
      </c>
      <c r="K541" s="136">
        <f>'TISWADI '!J227</f>
        <v>1045.7665529212716</v>
      </c>
      <c r="L541" s="136">
        <f>'TISWADI '!K227</f>
        <v>236.97282960495016</v>
      </c>
      <c r="M541" s="136">
        <f>'TISWADI '!L227</f>
        <v>361.92213976028756</v>
      </c>
      <c r="N541" s="136">
        <f>'TISWADI '!M227</f>
        <v>534.2660158366149</v>
      </c>
      <c r="O541" s="136">
        <f>'TISWADI '!N227</f>
        <v>44.84</v>
      </c>
      <c r="P541" s="136">
        <f>'TISWADI '!O227</f>
        <v>274</v>
      </c>
      <c r="Q541" s="136">
        <f>'TISWADI '!P227</f>
        <v>572</v>
      </c>
      <c r="R541" s="136">
        <f>'TISWADI '!S227</f>
        <v>3069.7675381231243</v>
      </c>
      <c r="T541" s="66">
        <v>0</v>
      </c>
      <c r="U541" s="66">
        <v>0</v>
      </c>
      <c r="V541" s="66">
        <v>0</v>
      </c>
      <c r="W541" s="66">
        <v>242.548576</v>
      </c>
      <c r="X541" s="66">
        <v>1800</v>
      </c>
      <c r="Y541" s="66">
        <v>2042.548576</v>
      </c>
    </row>
    <row r="542" spans="1:25" ht="18.75">
      <c r="A542" s="138"/>
      <c r="B542" s="138">
        <v>3</v>
      </c>
      <c r="C542" s="138" t="s">
        <v>75</v>
      </c>
      <c r="D542" s="137" t="s">
        <v>507</v>
      </c>
      <c r="E542" s="136">
        <f>'TISWADI '!D228</f>
        <v>0</v>
      </c>
      <c r="F542" s="136">
        <f>'TISWADI '!E228</f>
        <v>0</v>
      </c>
      <c r="G542" s="136">
        <f>'TISWADI '!F228</f>
        <v>0</v>
      </c>
      <c r="H542" s="136">
        <f>'TISWADI '!G228</f>
        <v>0</v>
      </c>
      <c r="I542" s="136">
        <f>'TISWADI '!H228</f>
        <v>0</v>
      </c>
      <c r="J542" s="136">
        <f>'TISWADI '!I228</f>
        <v>0</v>
      </c>
      <c r="K542" s="136">
        <f>'TISWADI '!J228</f>
        <v>0</v>
      </c>
      <c r="L542" s="136">
        <f>'TISWADI '!K228</f>
        <v>144.0268197710086</v>
      </c>
      <c r="M542" s="136">
        <f>'TISWADI '!L228</f>
        <v>219.96823383208587</v>
      </c>
      <c r="N542" s="136">
        <f>'TISWADI '!M228</f>
        <v>324.71501184736485</v>
      </c>
      <c r="O542" s="136">
        <f>'TISWADI '!N228</f>
        <v>44.84</v>
      </c>
      <c r="P542" s="136">
        <f>'TISWADI '!O228</f>
        <v>274</v>
      </c>
      <c r="Q542" s="136">
        <f>'TISWADI '!P228</f>
        <v>572</v>
      </c>
      <c r="R542" s="136">
        <f>'TISWADI '!S228</f>
        <v>1579.5500654504594</v>
      </c>
      <c r="T542" s="66">
        <v>0</v>
      </c>
      <c r="U542" s="66">
        <v>0</v>
      </c>
      <c r="V542" s="66">
        <v>0</v>
      </c>
      <c r="W542" s="66">
        <v>0</v>
      </c>
      <c r="X542" s="66">
        <v>1094</v>
      </c>
      <c r="Y542" s="66">
        <v>1094</v>
      </c>
    </row>
    <row r="543" spans="1:25" ht="18.75">
      <c r="A543" s="138"/>
      <c r="B543" s="138">
        <v>4</v>
      </c>
      <c r="C543" s="138" t="s">
        <v>180</v>
      </c>
      <c r="D543" s="137" t="s">
        <v>507</v>
      </c>
      <c r="E543" s="136">
        <f>'TISWADI '!D229</f>
        <v>0</v>
      </c>
      <c r="F543" s="136">
        <f>'TISWADI '!E229</f>
        <v>0</v>
      </c>
      <c r="G543" s="136">
        <f>'TISWADI '!F229</f>
        <v>0</v>
      </c>
      <c r="H543" s="136">
        <f>'TISWADI '!G229</f>
        <v>0</v>
      </c>
      <c r="I543" s="136">
        <f>'TISWADI '!H229</f>
        <v>0</v>
      </c>
      <c r="J543" s="136">
        <f>'TISWADI '!I229</f>
        <v>0</v>
      </c>
      <c r="K543" s="136">
        <f>'TISWADI '!J229</f>
        <v>0</v>
      </c>
      <c r="L543" s="136">
        <f>'TISWADI '!K229</f>
        <v>144.0268197710086</v>
      </c>
      <c r="M543" s="136">
        <f>'TISWADI '!L229</f>
        <v>219.96823383208587</v>
      </c>
      <c r="N543" s="136">
        <f>'TISWADI '!M229</f>
        <v>324.71501184736485</v>
      </c>
      <c r="O543" s="136">
        <f>'TISWADI '!N229</f>
        <v>44.84</v>
      </c>
      <c r="P543" s="136">
        <f>'TISWADI '!O229</f>
        <v>274</v>
      </c>
      <c r="Q543" s="136">
        <f>'TISWADI '!P229</f>
        <v>572</v>
      </c>
      <c r="R543" s="136">
        <f>'TISWADI '!S229</f>
        <v>1579.5500654504594</v>
      </c>
      <c r="T543" s="66">
        <v>0</v>
      </c>
      <c r="U543" s="66">
        <v>0</v>
      </c>
      <c r="V543" s="66">
        <v>0</v>
      </c>
      <c r="W543" s="66">
        <v>0</v>
      </c>
      <c r="X543" s="66">
        <v>1094</v>
      </c>
      <c r="Y543" s="66">
        <v>1094</v>
      </c>
    </row>
    <row r="544" spans="1:25" ht="18.75">
      <c r="A544" s="138"/>
      <c r="B544" s="138">
        <v>5</v>
      </c>
      <c r="C544" s="138" t="s">
        <v>125</v>
      </c>
      <c r="D544" s="137" t="s">
        <v>507</v>
      </c>
      <c r="E544" s="136">
        <f>'TISWADI '!D230</f>
        <v>0</v>
      </c>
      <c r="F544" s="136">
        <f>'TISWADI '!E230</f>
        <v>0</v>
      </c>
      <c r="G544" s="136">
        <f>'TISWADI '!F230</f>
        <v>0</v>
      </c>
      <c r="H544" s="136">
        <f>'TISWADI '!G230</f>
        <v>0</v>
      </c>
      <c r="I544" s="136">
        <f>'TISWADI '!H230</f>
        <v>0</v>
      </c>
      <c r="J544" s="136">
        <f>'TISWADI '!I230</f>
        <v>0</v>
      </c>
      <c r="K544" s="136">
        <f>'TISWADI '!J230</f>
        <v>0</v>
      </c>
      <c r="L544" s="136">
        <f>'TISWADI '!K230</f>
        <v>236.97282960495016</v>
      </c>
      <c r="M544" s="136">
        <f>'TISWADI '!L230</f>
        <v>361.92213976028756</v>
      </c>
      <c r="N544" s="136">
        <f>'TISWADI '!M230</f>
        <v>534.2660158366149</v>
      </c>
      <c r="O544" s="136">
        <f>'TISWADI '!N230</f>
        <v>44.84</v>
      </c>
      <c r="P544" s="136">
        <f>'TISWADI '!O230</f>
        <v>274</v>
      </c>
      <c r="Q544" s="136">
        <f>'TISWADI '!P230</f>
        <v>572</v>
      </c>
      <c r="R544" s="136">
        <f>'TISWADI '!S230</f>
        <v>2024.0009852018527</v>
      </c>
      <c r="T544" s="66">
        <v>0</v>
      </c>
      <c r="U544" s="66">
        <v>0</v>
      </c>
      <c r="V544" s="66">
        <v>0</v>
      </c>
      <c r="W544" s="66">
        <v>0</v>
      </c>
      <c r="X544" s="66">
        <v>1800</v>
      </c>
      <c r="Y544" s="66">
        <v>1800</v>
      </c>
    </row>
    <row r="545" spans="1:25" ht="18.75">
      <c r="A545" s="138"/>
      <c r="B545" s="138">
        <v>6</v>
      </c>
      <c r="C545" s="138" t="s">
        <v>181</v>
      </c>
      <c r="D545" s="137" t="s">
        <v>507</v>
      </c>
      <c r="E545" s="136">
        <f>'TISWADI '!D231</f>
        <v>0</v>
      </c>
      <c r="F545" s="136">
        <f>'TISWADI '!E231</f>
        <v>0</v>
      </c>
      <c r="G545" s="136">
        <f>'TISWADI '!F231</f>
        <v>0</v>
      </c>
      <c r="H545" s="136">
        <f>'TISWADI '!G231</f>
        <v>0</v>
      </c>
      <c r="I545" s="136">
        <f>'TISWADI '!H231</f>
        <v>0</v>
      </c>
      <c r="J545" s="136">
        <f>'TISWADI '!I231</f>
        <v>0</v>
      </c>
      <c r="K545" s="136">
        <f>'TISWADI '!J231</f>
        <v>1045.7665529212716</v>
      </c>
      <c r="L545" s="136">
        <f>'TISWADI '!K231</f>
        <v>236.97282960495016</v>
      </c>
      <c r="M545" s="136">
        <f>'TISWADI '!L231</f>
        <v>361.92213976028756</v>
      </c>
      <c r="N545" s="136">
        <f>'TISWADI '!M231</f>
        <v>534.2660158366149</v>
      </c>
      <c r="O545" s="136">
        <f>'TISWADI '!N231</f>
        <v>44.84</v>
      </c>
      <c r="P545" s="136">
        <f>'TISWADI '!O231</f>
        <v>274</v>
      </c>
      <c r="Q545" s="136">
        <f>'TISWADI '!P231</f>
        <v>572</v>
      </c>
      <c r="R545" s="136">
        <f>'TISWADI '!S231</f>
        <v>3069.7675381231243</v>
      </c>
      <c r="T545" s="66">
        <v>0</v>
      </c>
      <c r="U545" s="66">
        <v>0</v>
      </c>
      <c r="V545" s="66">
        <v>0</v>
      </c>
      <c r="W545" s="66">
        <v>242.548576</v>
      </c>
      <c r="X545" s="66">
        <v>1800</v>
      </c>
      <c r="Y545" s="66">
        <v>2042.548576</v>
      </c>
    </row>
    <row r="546" spans="1:25" ht="18.75">
      <c r="A546" s="138">
        <v>6</v>
      </c>
      <c r="B546" s="138"/>
      <c r="C546" s="138" t="s">
        <v>78</v>
      </c>
      <c r="D546" s="137"/>
      <c r="E546" s="136">
        <f aca="true" t="shared" si="29" ref="E546:R546">SUM(E540:E545)</f>
        <v>0</v>
      </c>
      <c r="F546" s="136">
        <f t="shared" si="29"/>
        <v>63.821719434532326</v>
      </c>
      <c r="G546" s="136">
        <f t="shared" si="29"/>
        <v>63.821719434532326</v>
      </c>
      <c r="H546" s="136">
        <f t="shared" si="29"/>
        <v>7.725405454230381</v>
      </c>
      <c r="I546" s="136">
        <f t="shared" si="29"/>
        <v>10.235932135292824</v>
      </c>
      <c r="J546" s="136">
        <f t="shared" si="29"/>
        <v>81.78305702405554</v>
      </c>
      <c r="K546" s="136">
        <f t="shared" si="29"/>
        <v>2523.33360160654</v>
      </c>
      <c r="L546" s="136">
        <f t="shared" si="29"/>
        <v>1074.3793055206152</v>
      </c>
      <c r="M546" s="136">
        <f t="shared" si="29"/>
        <v>1640.8702120678486</v>
      </c>
      <c r="N546" s="136">
        <f t="shared" si="29"/>
        <v>2422.2369797192046</v>
      </c>
      <c r="O546" s="136">
        <f t="shared" si="29"/>
        <v>269.04</v>
      </c>
      <c r="P546" s="136">
        <f t="shared" si="29"/>
        <v>1644</v>
      </c>
      <c r="Q546" s="136">
        <f t="shared" si="29"/>
        <v>3432</v>
      </c>
      <c r="R546" s="136">
        <f t="shared" si="29"/>
        <v>13087.643155938262</v>
      </c>
      <c r="T546" s="66">
        <v>0</v>
      </c>
      <c r="U546" s="66">
        <v>66.0841664923151</v>
      </c>
      <c r="V546" s="66">
        <v>66.0841664923151</v>
      </c>
      <c r="W546" s="66">
        <v>586.246267566078</v>
      </c>
      <c r="X546" s="66">
        <v>8160.77840299676</v>
      </c>
      <c r="Y546" s="66">
        <v>8813.10883705515</v>
      </c>
    </row>
    <row r="547" spans="1:25" ht="18.75">
      <c r="A547" s="138"/>
      <c r="B547" s="138"/>
      <c r="C547" s="138"/>
      <c r="D547" s="141"/>
      <c r="E547" s="138"/>
      <c r="F547" s="138"/>
      <c r="G547" s="138"/>
      <c r="H547" s="138"/>
      <c r="I547" s="138"/>
      <c r="J547" s="138"/>
      <c r="K547" s="138"/>
      <c r="L547" s="138"/>
      <c r="M547" s="138"/>
      <c r="N547" s="138"/>
      <c r="O547" s="138"/>
      <c r="P547" s="138"/>
      <c r="Q547" s="138"/>
      <c r="R547" s="138"/>
      <c r="T547" s="67"/>
      <c r="U547" s="67"/>
      <c r="V547" s="67"/>
      <c r="W547" s="67"/>
      <c r="X547" s="67"/>
      <c r="Y547" s="67"/>
    </row>
    <row r="548" spans="1:25" ht="18.75">
      <c r="A548" s="138"/>
      <c r="B548" s="138"/>
      <c r="C548" s="138" t="s">
        <v>42</v>
      </c>
      <c r="D548" s="141"/>
      <c r="E548" s="138"/>
      <c r="F548" s="138"/>
      <c r="G548" s="138"/>
      <c r="H548" s="138"/>
      <c r="I548" s="138"/>
      <c r="J548" s="138"/>
      <c r="K548" s="138"/>
      <c r="L548" s="138"/>
      <c r="M548" s="138"/>
      <c r="N548" s="138"/>
      <c r="O548" s="138"/>
      <c r="P548" s="138"/>
      <c r="Q548" s="138"/>
      <c r="R548" s="138"/>
      <c r="T548" s="67"/>
      <c r="U548" s="67"/>
      <c r="V548" s="67"/>
      <c r="W548" s="67"/>
      <c r="X548" s="67"/>
      <c r="Y548" s="67"/>
    </row>
    <row r="549" spans="1:25" ht="18.75">
      <c r="A549" s="138"/>
      <c r="B549" s="138">
        <v>7</v>
      </c>
      <c r="C549" s="138" t="s">
        <v>323</v>
      </c>
      <c r="D549" s="137" t="s">
        <v>507</v>
      </c>
      <c r="E549" s="136">
        <f>BARDEZ!D195</f>
        <v>0</v>
      </c>
      <c r="F549" s="136">
        <f>BARDEZ!E195</f>
        <v>0</v>
      </c>
      <c r="G549" s="136">
        <f>BARDEZ!F195</f>
        <v>0</v>
      </c>
      <c r="H549" s="136">
        <f>BARDEZ!G195</f>
        <v>0</v>
      </c>
      <c r="I549" s="136">
        <f>BARDEZ!H195</f>
        <v>0</v>
      </c>
      <c r="J549" s="136">
        <f>BARDEZ!I195</f>
        <v>0</v>
      </c>
      <c r="K549" s="136">
        <f>BARDEZ!J195</f>
        <v>0</v>
      </c>
      <c r="L549" s="136">
        <f>BARDEZ!K195</f>
        <v>999.0743952979994</v>
      </c>
      <c r="M549" s="136">
        <f>BARDEZ!L195</f>
        <v>1525.8590764551263</v>
      </c>
      <c r="N549" s="136">
        <f>BARDEZ!M195</f>
        <v>2252.458636671853</v>
      </c>
      <c r="O549" s="136">
        <f>BARDEZ!N195</f>
        <v>39.2375</v>
      </c>
      <c r="P549" s="136">
        <f>BARDEZ!O195</f>
        <v>240</v>
      </c>
      <c r="Q549" s="136">
        <f>BARDEZ!P195</f>
        <v>495</v>
      </c>
      <c r="R549" s="136">
        <f>BARDEZ!R195</f>
        <v>5551.629608424979</v>
      </c>
      <c r="T549" s="66">
        <v>0</v>
      </c>
      <c r="U549" s="66">
        <v>0</v>
      </c>
      <c r="V549" s="66">
        <v>0</v>
      </c>
      <c r="W549" s="66">
        <v>0</v>
      </c>
      <c r="X549" s="66">
        <v>7588.7768</v>
      </c>
      <c r="Y549" s="66">
        <v>7588.7768</v>
      </c>
    </row>
    <row r="550" spans="1:25" ht="18.75">
      <c r="A550" s="138"/>
      <c r="B550" s="138">
        <v>8</v>
      </c>
      <c r="C550" s="138" t="s">
        <v>273</v>
      </c>
      <c r="D550" s="137" t="s">
        <v>507</v>
      </c>
      <c r="E550" s="136">
        <f>BARDEZ!D196</f>
        <v>0</v>
      </c>
      <c r="F550" s="136">
        <f>BARDEZ!E196</f>
        <v>0</v>
      </c>
      <c r="G550" s="136">
        <f>BARDEZ!F196</f>
        <v>0</v>
      </c>
      <c r="H550" s="136">
        <f>BARDEZ!G196</f>
        <v>0</v>
      </c>
      <c r="I550" s="136">
        <f>BARDEZ!H196</f>
        <v>0</v>
      </c>
      <c r="J550" s="136">
        <f>BARDEZ!I196</f>
        <v>0</v>
      </c>
      <c r="K550" s="136">
        <f>BARDEZ!J196</f>
        <v>0</v>
      </c>
      <c r="L550" s="136">
        <f>BARDEZ!K196</f>
        <v>499.5371976489997</v>
      </c>
      <c r="M550" s="136">
        <f>BARDEZ!L196</f>
        <v>762.9295382275632</v>
      </c>
      <c r="N550" s="136">
        <f>BARDEZ!M196</f>
        <v>1126.2293183359266</v>
      </c>
      <c r="O550" s="136">
        <f>BARDEZ!N196</f>
        <v>39.2375</v>
      </c>
      <c r="P550" s="136">
        <f>BARDEZ!O196</f>
        <v>240</v>
      </c>
      <c r="Q550" s="136">
        <f>BARDEZ!P196</f>
        <v>495</v>
      </c>
      <c r="R550" s="136">
        <f>BARDEZ!R196</f>
        <v>3162.9335542124895</v>
      </c>
      <c r="T550" s="66">
        <v>0</v>
      </c>
      <c r="U550" s="66">
        <v>0</v>
      </c>
      <c r="V550" s="66">
        <v>0</v>
      </c>
      <c r="W550" s="66">
        <v>0</v>
      </c>
      <c r="X550" s="66">
        <v>3794.3884</v>
      </c>
      <c r="Y550" s="66">
        <v>3794.3884</v>
      </c>
    </row>
    <row r="551" spans="1:25" ht="18.75">
      <c r="A551" s="138"/>
      <c r="B551" s="138">
        <v>9</v>
      </c>
      <c r="C551" s="138" t="s">
        <v>320</v>
      </c>
      <c r="D551" s="137" t="s">
        <v>507</v>
      </c>
      <c r="E551" s="136">
        <f>BARDEZ!D197</f>
        <v>0</v>
      </c>
      <c r="F551" s="136">
        <f>BARDEZ!E197</f>
        <v>0</v>
      </c>
      <c r="G551" s="136">
        <f>BARDEZ!F197</f>
        <v>0</v>
      </c>
      <c r="H551" s="136">
        <f>BARDEZ!G197</f>
        <v>0</v>
      </c>
      <c r="I551" s="136">
        <f>BARDEZ!H197</f>
        <v>0</v>
      </c>
      <c r="J551" s="136">
        <f>BARDEZ!I197</f>
        <v>0</v>
      </c>
      <c r="K551" s="136">
        <f>BARDEZ!J197</f>
        <v>0</v>
      </c>
      <c r="L551" s="136">
        <f>BARDEZ!K197</f>
        <v>499.5371976489997</v>
      </c>
      <c r="M551" s="136">
        <f>BARDEZ!L197</f>
        <v>762.9295382275632</v>
      </c>
      <c r="N551" s="136">
        <f>BARDEZ!M197</f>
        <v>1126.2293183359266</v>
      </c>
      <c r="O551" s="136">
        <f>BARDEZ!N197</f>
        <v>39.2375</v>
      </c>
      <c r="P551" s="136">
        <f>BARDEZ!O197</f>
        <v>240</v>
      </c>
      <c r="Q551" s="136">
        <f>BARDEZ!P197</f>
        <v>495</v>
      </c>
      <c r="R551" s="136">
        <f>BARDEZ!R197</f>
        <v>3162.9335542124895</v>
      </c>
      <c r="T551" s="66">
        <v>0</v>
      </c>
      <c r="U551" s="66">
        <v>0</v>
      </c>
      <c r="V551" s="66">
        <v>0</v>
      </c>
      <c r="W551" s="66">
        <v>0</v>
      </c>
      <c r="X551" s="66">
        <v>3794.3884</v>
      </c>
      <c r="Y551" s="66">
        <v>3794.3884</v>
      </c>
    </row>
    <row r="552" spans="1:25" ht="18.75">
      <c r="A552" s="138"/>
      <c r="B552" s="138">
        <v>10</v>
      </c>
      <c r="C552" s="138" t="s">
        <v>325</v>
      </c>
      <c r="D552" s="137" t="s">
        <v>508</v>
      </c>
      <c r="E552" s="136">
        <f>BARDEZ!D198</f>
        <v>0</v>
      </c>
      <c r="F552" s="136">
        <f>BARDEZ!E198</f>
        <v>0</v>
      </c>
      <c r="G552" s="136">
        <f>BARDEZ!F198</f>
        <v>0</v>
      </c>
      <c r="H552" s="136">
        <f>BARDEZ!G198</f>
        <v>0</v>
      </c>
      <c r="I552" s="136">
        <f>BARDEZ!H198</f>
        <v>0</v>
      </c>
      <c r="J552" s="136">
        <f>BARDEZ!I198</f>
        <v>0</v>
      </c>
      <c r="K552" s="136">
        <f>BARDEZ!J198</f>
        <v>522.8832764606358</v>
      </c>
      <c r="L552" s="136">
        <f>BARDEZ!K198</f>
        <v>399.62975811919983</v>
      </c>
      <c r="M552" s="136">
        <f>BARDEZ!L198</f>
        <v>610.3436305820507</v>
      </c>
      <c r="N552" s="136">
        <f>BARDEZ!M198</f>
        <v>900.9834546687415</v>
      </c>
      <c r="O552" s="136">
        <f>BARDEZ!N198</f>
        <v>39.2375</v>
      </c>
      <c r="P552" s="136">
        <f>BARDEZ!O198</f>
        <v>240</v>
      </c>
      <c r="Q552" s="136">
        <f>BARDEZ!P198</f>
        <v>495</v>
      </c>
      <c r="R552" s="136">
        <f>BARDEZ!R198</f>
        <v>3208.077619830628</v>
      </c>
      <c r="T552" s="66">
        <v>0</v>
      </c>
      <c r="U552" s="66">
        <v>0</v>
      </c>
      <c r="V552" s="66">
        <v>0</v>
      </c>
      <c r="W552" s="66">
        <v>121.274288</v>
      </c>
      <c r="X552" s="66">
        <v>3035.51072</v>
      </c>
      <c r="Y552" s="66">
        <v>3156.785008</v>
      </c>
    </row>
    <row r="553" spans="1:25" ht="18.75">
      <c r="A553" s="138"/>
      <c r="B553" s="138">
        <v>11</v>
      </c>
      <c r="C553" s="138" t="s">
        <v>235</v>
      </c>
      <c r="D553" s="137" t="s">
        <v>508</v>
      </c>
      <c r="E553" s="136">
        <f>BARDEZ!D199</f>
        <v>0</v>
      </c>
      <c r="F553" s="136">
        <f>BARDEZ!E199</f>
        <v>0</v>
      </c>
      <c r="G553" s="136">
        <f>BARDEZ!F199</f>
        <v>0</v>
      </c>
      <c r="H553" s="136">
        <f>BARDEZ!G199</f>
        <v>0</v>
      </c>
      <c r="I553" s="136">
        <f>BARDEZ!H199</f>
        <v>0</v>
      </c>
      <c r="J553" s="136">
        <f>BARDEZ!I199</f>
        <v>0</v>
      </c>
      <c r="K553" s="136">
        <f>BARDEZ!J199</f>
        <v>522.8832764606358</v>
      </c>
      <c r="L553" s="136">
        <f>BARDEZ!K199</f>
        <v>399.62975811919983</v>
      </c>
      <c r="M553" s="136">
        <f>BARDEZ!L199</f>
        <v>610.3436305820507</v>
      </c>
      <c r="N553" s="136">
        <f>BARDEZ!M199</f>
        <v>900.9834546687415</v>
      </c>
      <c r="O553" s="136">
        <f>BARDEZ!N199</f>
        <v>39.2375</v>
      </c>
      <c r="P553" s="136">
        <f>BARDEZ!O199</f>
        <v>240</v>
      </c>
      <c r="Q553" s="136">
        <f>BARDEZ!P199</f>
        <v>495</v>
      </c>
      <c r="R553" s="136">
        <f>BARDEZ!R199</f>
        <v>3208.077619830628</v>
      </c>
      <c r="T553" s="66">
        <v>0</v>
      </c>
      <c r="U553" s="66">
        <v>0</v>
      </c>
      <c r="V553" s="66">
        <v>0</v>
      </c>
      <c r="W553" s="66">
        <v>121.274288</v>
      </c>
      <c r="X553" s="66">
        <v>3035.51072</v>
      </c>
      <c r="Y553" s="66">
        <v>3156.785008</v>
      </c>
    </row>
    <row r="554" spans="1:25" ht="18.75">
      <c r="A554" s="138">
        <v>5</v>
      </c>
      <c r="B554" s="138"/>
      <c r="C554" s="138" t="s">
        <v>78</v>
      </c>
      <c r="D554" s="137"/>
      <c r="E554" s="136">
        <f aca="true" t="shared" si="30" ref="E554:R554">SUM(E549:E553)</f>
        <v>0</v>
      </c>
      <c r="F554" s="136">
        <f t="shared" si="30"/>
        <v>0</v>
      </c>
      <c r="G554" s="136">
        <f t="shared" si="30"/>
        <v>0</v>
      </c>
      <c r="H554" s="136">
        <f t="shared" si="30"/>
        <v>0</v>
      </c>
      <c r="I554" s="136">
        <f t="shared" si="30"/>
        <v>0</v>
      </c>
      <c r="J554" s="136">
        <f t="shared" si="30"/>
        <v>0</v>
      </c>
      <c r="K554" s="136">
        <f t="shared" si="30"/>
        <v>1045.7665529212716</v>
      </c>
      <c r="L554" s="136">
        <f t="shared" si="30"/>
        <v>2797.4083068343984</v>
      </c>
      <c r="M554" s="136">
        <f t="shared" si="30"/>
        <v>4272.405414074354</v>
      </c>
      <c r="N554" s="136">
        <f t="shared" si="30"/>
        <v>6306.8841826811895</v>
      </c>
      <c r="O554" s="136">
        <f t="shared" si="30"/>
        <v>196.1875</v>
      </c>
      <c r="P554" s="136">
        <f t="shared" si="30"/>
        <v>1200</v>
      </c>
      <c r="Q554" s="136">
        <f t="shared" si="30"/>
        <v>2475</v>
      </c>
      <c r="R554" s="136">
        <f t="shared" si="30"/>
        <v>18293.651956511214</v>
      </c>
      <c r="T554" s="66">
        <v>0</v>
      </c>
      <c r="U554" s="66">
        <v>0</v>
      </c>
      <c r="V554" s="66">
        <v>0</v>
      </c>
      <c r="W554" s="66">
        <v>241.548576</v>
      </c>
      <c r="X554" s="66">
        <v>21248.57504</v>
      </c>
      <c r="Y554" s="66">
        <v>21491.123616</v>
      </c>
    </row>
    <row r="555" spans="1:25" ht="18.75">
      <c r="A555" s="138"/>
      <c r="B555" s="138"/>
      <c r="C555" s="138"/>
      <c r="D555" s="141"/>
      <c r="E555" s="138"/>
      <c r="F555" s="138"/>
      <c r="G555" s="138"/>
      <c r="H555" s="138"/>
      <c r="I555" s="138"/>
      <c r="J555" s="138"/>
      <c r="K555" s="138"/>
      <c r="L555" s="138"/>
      <c r="M555" s="138"/>
      <c r="N555" s="138"/>
      <c r="O555" s="138"/>
      <c r="P555" s="138"/>
      <c r="Q555" s="138"/>
      <c r="R555" s="138"/>
      <c r="T555" s="67"/>
      <c r="U555" s="67"/>
      <c r="V555" s="67"/>
      <c r="W555" s="67"/>
      <c r="X555" s="67"/>
      <c r="Y555" s="67"/>
    </row>
    <row r="556" spans="1:25" ht="18.75">
      <c r="A556" s="138"/>
      <c r="B556" s="138"/>
      <c r="C556" s="138"/>
      <c r="D556" s="141"/>
      <c r="E556" s="138"/>
      <c r="F556" s="138"/>
      <c r="G556" s="138"/>
      <c r="H556" s="138"/>
      <c r="I556" s="138"/>
      <c r="J556" s="138"/>
      <c r="K556" s="138"/>
      <c r="L556" s="138"/>
      <c r="M556" s="138"/>
      <c r="N556" s="138"/>
      <c r="O556" s="138"/>
      <c r="P556" s="138"/>
      <c r="Q556" s="138"/>
      <c r="R556" s="138"/>
      <c r="T556" s="67"/>
      <c r="U556" s="67"/>
      <c r="V556" s="67"/>
      <c r="W556" s="67"/>
      <c r="X556" s="67"/>
      <c r="Y556" s="67"/>
    </row>
    <row r="557" spans="1:25" ht="18.75">
      <c r="A557" s="138"/>
      <c r="B557" s="138"/>
      <c r="C557" s="138" t="s">
        <v>43</v>
      </c>
      <c r="D557" s="141"/>
      <c r="E557" s="138"/>
      <c r="F557" s="138"/>
      <c r="G557" s="138"/>
      <c r="H557" s="138"/>
      <c r="I557" s="138"/>
      <c r="J557" s="138"/>
      <c r="K557" s="138"/>
      <c r="L557" s="138"/>
      <c r="M557" s="138"/>
      <c r="N557" s="138"/>
      <c r="O557" s="138"/>
      <c r="P557" s="138"/>
      <c r="Q557" s="138"/>
      <c r="R557" s="138"/>
      <c r="T557" s="67"/>
      <c r="U557" s="67"/>
      <c r="V557" s="67"/>
      <c r="W557" s="67"/>
      <c r="X557" s="67"/>
      <c r="Y557" s="67"/>
    </row>
    <row r="558" spans="1:25" ht="18.75">
      <c r="A558" s="138"/>
      <c r="B558" s="138">
        <v>14</v>
      </c>
      <c r="C558" s="138" t="s">
        <v>387</v>
      </c>
      <c r="D558" s="137" t="s">
        <v>507</v>
      </c>
      <c r="E558" s="136">
        <f>BICHOLIM!D73</f>
        <v>0</v>
      </c>
      <c r="F558" s="136">
        <f>BICHOLIM!E73</f>
        <v>0</v>
      </c>
      <c r="G558" s="136">
        <f>BICHOLIM!F73</f>
        <v>0</v>
      </c>
      <c r="H558" s="136">
        <f>BICHOLIM!G73</f>
        <v>0</v>
      </c>
      <c r="I558" s="136">
        <f>BICHOLIM!H73</f>
        <v>0</v>
      </c>
      <c r="J558" s="136">
        <f>BICHOLIM!I73</f>
        <v>0</v>
      </c>
      <c r="K558" s="136">
        <f>BICHOLIM!J73</f>
        <v>614.6089802125076</v>
      </c>
      <c r="L558" s="136">
        <f>BICHOLIM!K73</f>
        <v>367.8856256462496</v>
      </c>
      <c r="M558" s="136">
        <f>BICHOLIM!L73</f>
        <v>561.8616828051812</v>
      </c>
      <c r="N558" s="136">
        <f>BICHOLIM!M73</f>
        <v>829.4148650933628</v>
      </c>
      <c r="O558" s="136">
        <f>BICHOLIM!N73</f>
        <v>150</v>
      </c>
      <c r="P558" s="136">
        <f>BICHOLIM!O73</f>
        <v>1100</v>
      </c>
      <c r="Q558" s="136">
        <f>BICHOLIM!P73</f>
        <v>2009</v>
      </c>
      <c r="R558" s="136">
        <f>BICHOLIM!R73</f>
        <v>5632.771153757301</v>
      </c>
      <c r="T558" s="66">
        <v>0</v>
      </c>
      <c r="U558" s="66">
        <v>0</v>
      </c>
      <c r="V558" s="66">
        <v>0</v>
      </c>
      <c r="W558" s="66">
        <v>142.548576</v>
      </c>
      <c r="X558" s="66">
        <v>2794.3884</v>
      </c>
      <c r="Y558" s="66">
        <v>2936.936976</v>
      </c>
    </row>
    <row r="559" spans="1:25" ht="18.75">
      <c r="A559" s="138"/>
      <c r="B559" s="138">
        <v>15</v>
      </c>
      <c r="C559" s="138" t="s">
        <v>510</v>
      </c>
      <c r="D559" s="137" t="s">
        <v>507</v>
      </c>
      <c r="E559" s="136">
        <f>BICHOLIM!D74</f>
        <v>0</v>
      </c>
      <c r="F559" s="136">
        <f>BICHOLIM!E74</f>
        <v>0</v>
      </c>
      <c r="G559" s="136">
        <f>BICHOLIM!F74</f>
        <v>0</v>
      </c>
      <c r="H559" s="136">
        <f>BICHOLIM!G74</f>
        <v>0</v>
      </c>
      <c r="I559" s="136">
        <f>BICHOLIM!H74</f>
        <v>0</v>
      </c>
      <c r="J559" s="136">
        <f>BICHOLIM!I74</f>
        <v>0</v>
      </c>
      <c r="K559" s="136">
        <f>BICHOLIM!J74</f>
        <v>431.157572708764</v>
      </c>
      <c r="L559" s="136">
        <f>BICHOLIM!K74</f>
        <v>131.6515720027501</v>
      </c>
      <c r="M559" s="136">
        <f>BICHOLIM!L74</f>
        <v>201.06785542238194</v>
      </c>
      <c r="N559" s="136">
        <f>BICHOLIM!M74</f>
        <v>296.81445324256384</v>
      </c>
      <c r="O559" s="136">
        <f>BICHOLIM!N74</f>
        <v>150</v>
      </c>
      <c r="P559" s="136">
        <f>BICHOLIM!O74</f>
        <v>999</v>
      </c>
      <c r="Q559" s="136">
        <f>BICHOLIM!P74</f>
        <v>2009</v>
      </c>
      <c r="R559" s="136">
        <f>BICHOLIM!R74</f>
        <v>4218.69145337646</v>
      </c>
      <c r="T559" s="66">
        <v>0</v>
      </c>
      <c r="U559" s="66">
        <v>0</v>
      </c>
      <c r="V559" s="66">
        <v>0</v>
      </c>
      <c r="W559" s="66">
        <v>100</v>
      </c>
      <c r="X559" s="66">
        <v>1000</v>
      </c>
      <c r="Y559" s="66">
        <v>1100</v>
      </c>
    </row>
    <row r="560" spans="1:25" ht="18.75">
      <c r="A560" s="138">
        <v>2</v>
      </c>
      <c r="B560" s="138"/>
      <c r="C560" s="138" t="s">
        <v>78</v>
      </c>
      <c r="D560" s="137"/>
      <c r="E560" s="136">
        <f>BICHOLIM!D75</f>
        <v>0</v>
      </c>
      <c r="F560" s="136">
        <f>BICHOLIM!E75</f>
        <v>0</v>
      </c>
      <c r="G560" s="136">
        <f>BICHOLIM!F75</f>
        <v>0</v>
      </c>
      <c r="H560" s="136">
        <f>BICHOLIM!G75</f>
        <v>0</v>
      </c>
      <c r="I560" s="136">
        <f>BICHOLIM!H75</f>
        <v>0</v>
      </c>
      <c r="J560" s="136">
        <f>BICHOLIM!I75</f>
        <v>0</v>
      </c>
      <c r="K560" s="136">
        <f>BICHOLIM!J75</f>
        <v>1045.7665529212716</v>
      </c>
      <c r="L560" s="136">
        <f>BICHOLIM!K75</f>
        <v>499.5371976489997</v>
      </c>
      <c r="M560" s="136">
        <f>BICHOLIM!L75</f>
        <v>762.9295382275632</v>
      </c>
      <c r="N560" s="136">
        <f>BICHOLIM!M75</f>
        <v>1126.2293183359266</v>
      </c>
      <c r="O560" s="136">
        <f>BICHOLIM!N75</f>
        <v>300</v>
      </c>
      <c r="P560" s="136">
        <f>BICHOLIM!O75</f>
        <v>2099</v>
      </c>
      <c r="Q560" s="136">
        <f>BICHOLIM!P75</f>
        <v>4018</v>
      </c>
      <c r="R560" s="136">
        <f>BICHOLIM!R75</f>
        <v>9851.462607133763</v>
      </c>
      <c r="T560" s="66">
        <v>0</v>
      </c>
      <c r="U560" s="66">
        <v>0</v>
      </c>
      <c r="V560" s="66">
        <v>0</v>
      </c>
      <c r="W560" s="66">
        <v>242.548576</v>
      </c>
      <c r="X560" s="66">
        <v>3794.3884</v>
      </c>
      <c r="Y560" s="66">
        <v>4036.936976</v>
      </c>
    </row>
    <row r="561" spans="1:25" ht="18.75">
      <c r="A561" s="138"/>
      <c r="B561" s="138"/>
      <c r="C561" s="138"/>
      <c r="D561" s="141"/>
      <c r="E561" s="138"/>
      <c r="F561" s="138"/>
      <c r="G561" s="138"/>
      <c r="H561" s="138"/>
      <c r="I561" s="138"/>
      <c r="J561" s="138"/>
      <c r="K561" s="138"/>
      <c r="L561" s="138"/>
      <c r="M561" s="138"/>
      <c r="N561" s="138"/>
      <c r="O561" s="138"/>
      <c r="P561" s="138"/>
      <c r="Q561" s="138"/>
      <c r="R561" s="138"/>
      <c r="T561" s="67"/>
      <c r="U561" s="67"/>
      <c r="V561" s="67"/>
      <c r="W561" s="67"/>
      <c r="X561" s="67"/>
      <c r="Y561" s="67"/>
    </row>
    <row r="562" spans="1:25" ht="18.75">
      <c r="A562" s="138"/>
      <c r="B562" s="138"/>
      <c r="C562" s="138" t="s">
        <v>44</v>
      </c>
      <c r="D562" s="141"/>
      <c r="E562" s="138"/>
      <c r="F562" s="138"/>
      <c r="G562" s="138"/>
      <c r="H562" s="138"/>
      <c r="I562" s="138"/>
      <c r="J562" s="138"/>
      <c r="K562" s="138"/>
      <c r="L562" s="138"/>
      <c r="M562" s="138"/>
      <c r="N562" s="138"/>
      <c r="O562" s="138"/>
      <c r="P562" s="138"/>
      <c r="Q562" s="138"/>
      <c r="R562" s="138"/>
      <c r="T562" s="67"/>
      <c r="U562" s="67"/>
      <c r="V562" s="67"/>
      <c r="W562" s="67"/>
      <c r="X562" s="67"/>
      <c r="Y562" s="67"/>
    </row>
    <row r="563" spans="1:25" s="80" customFormat="1" ht="18.75">
      <c r="A563" s="138">
        <v>1</v>
      </c>
      <c r="B563" s="138">
        <v>16</v>
      </c>
      <c r="C563" s="138" t="s">
        <v>415</v>
      </c>
      <c r="D563" s="137" t="s">
        <v>508</v>
      </c>
      <c r="E563" s="136">
        <f>PERNEM!D44</f>
        <v>6.300394332996885</v>
      </c>
      <c r="F563" s="136">
        <f>PERNEM!E44</f>
        <v>0</v>
      </c>
      <c r="G563" s="136">
        <f>PERNEM!F44</f>
        <v>6.300394332996885</v>
      </c>
      <c r="H563" s="136">
        <f>PERNEM!G44</f>
        <v>0</v>
      </c>
      <c r="I563" s="136">
        <f>PERNEM!H44</f>
        <v>0</v>
      </c>
      <c r="J563" s="136">
        <f>PERNEM!I44</f>
        <v>6.300394332996885</v>
      </c>
      <c r="K563" s="136">
        <f>PERNEM!J44</f>
        <v>0</v>
      </c>
      <c r="L563" s="136">
        <f>PERNEM!K44</f>
        <v>65.8249094769326</v>
      </c>
      <c r="M563" s="136">
        <f>PERNEM!L44</f>
        <v>100.53258901931524</v>
      </c>
      <c r="N563" s="136">
        <f>PERNEM!M44</f>
        <v>148.4052504570844</v>
      </c>
      <c r="O563" s="136">
        <f>PERNEM!N44</f>
        <v>232</v>
      </c>
      <c r="P563" s="136">
        <f>PERNEM!O44</f>
        <v>1437</v>
      </c>
      <c r="Q563" s="136">
        <f>PERNEM!P44</f>
        <v>2969</v>
      </c>
      <c r="R563" s="136">
        <f>PERNEM!R44</f>
        <v>4959.063143286329</v>
      </c>
      <c r="S563" s="82"/>
      <c r="T563" s="81">
        <v>7</v>
      </c>
      <c r="U563" s="81">
        <v>0</v>
      </c>
      <c r="V563" s="81">
        <v>7</v>
      </c>
      <c r="W563" s="81">
        <v>0</v>
      </c>
      <c r="X563" s="81">
        <v>500</v>
      </c>
      <c r="Y563" s="81">
        <v>507</v>
      </c>
    </row>
    <row r="564" spans="1:25" ht="18.75">
      <c r="A564" s="138"/>
      <c r="B564" s="138"/>
      <c r="C564" s="138"/>
      <c r="D564" s="141"/>
      <c r="E564" s="138"/>
      <c r="F564" s="138"/>
      <c r="G564" s="138"/>
      <c r="H564" s="138"/>
      <c r="I564" s="138"/>
      <c r="J564" s="138"/>
      <c r="K564" s="138"/>
      <c r="L564" s="138"/>
      <c r="M564" s="138"/>
      <c r="N564" s="138"/>
      <c r="O564" s="138"/>
      <c r="P564" s="138"/>
      <c r="Q564" s="138"/>
      <c r="R564" s="138"/>
      <c r="T564" s="67"/>
      <c r="U564" s="67"/>
      <c r="V564" s="67"/>
      <c r="W564" s="67"/>
      <c r="X564" s="67"/>
      <c r="Y564" s="67"/>
    </row>
    <row r="565" spans="1:25" ht="18.75">
      <c r="A565" s="145">
        <v>16</v>
      </c>
      <c r="B565" s="143"/>
      <c r="C565" s="143" t="s">
        <v>17</v>
      </c>
      <c r="D565" s="144"/>
      <c r="E565" s="145">
        <f aca="true" t="shared" si="31" ref="E565:R565">E546+E554+E560+E563</f>
        <v>6.300394332996885</v>
      </c>
      <c r="F565" s="145">
        <f t="shared" si="31"/>
        <v>63.821719434532326</v>
      </c>
      <c r="G565" s="145">
        <f t="shared" si="31"/>
        <v>70.12211376752921</v>
      </c>
      <c r="H565" s="145">
        <f t="shared" si="31"/>
        <v>7.725405454230381</v>
      </c>
      <c r="I565" s="145">
        <f t="shared" si="31"/>
        <v>10.235932135292824</v>
      </c>
      <c r="J565" s="145">
        <f t="shared" si="31"/>
        <v>88.08345135705243</v>
      </c>
      <c r="K565" s="145">
        <f t="shared" si="31"/>
        <v>4614.866707449083</v>
      </c>
      <c r="L565" s="145">
        <f t="shared" si="31"/>
        <v>4437.149719480946</v>
      </c>
      <c r="M565" s="145">
        <f t="shared" si="31"/>
        <v>6776.73775338908</v>
      </c>
      <c r="N565" s="145">
        <f t="shared" si="31"/>
        <v>10003.755731193405</v>
      </c>
      <c r="O565" s="145">
        <f t="shared" si="31"/>
        <v>997.2275</v>
      </c>
      <c r="P565" s="145">
        <f t="shared" si="31"/>
        <v>6380</v>
      </c>
      <c r="Q565" s="145">
        <f t="shared" si="31"/>
        <v>12894</v>
      </c>
      <c r="R565" s="145">
        <f t="shared" si="31"/>
        <v>46191.82086286957</v>
      </c>
      <c r="T565" s="71">
        <v>7</v>
      </c>
      <c r="U565" s="71">
        <v>66.0841664923151</v>
      </c>
      <c r="V565" s="71">
        <v>73.0841664923151</v>
      </c>
      <c r="W565" s="71">
        <v>1313.89199556608</v>
      </c>
      <c r="X565" s="71">
        <v>37498.1302429967</v>
      </c>
      <c r="Y565" s="71">
        <v>38885.1064050551</v>
      </c>
    </row>
    <row r="566" spans="1:25" ht="18.75">
      <c r="A566" s="138"/>
      <c r="B566" s="138"/>
      <c r="C566" s="138"/>
      <c r="D566" s="141"/>
      <c r="E566" s="138"/>
      <c r="F566" s="138"/>
      <c r="G566" s="138"/>
      <c r="H566" s="138"/>
      <c r="I566" s="138"/>
      <c r="J566" s="138"/>
      <c r="K566" s="138"/>
      <c r="L566" s="138"/>
      <c r="M566" s="138"/>
      <c r="N566" s="138"/>
      <c r="O566" s="138"/>
      <c r="P566" s="138"/>
      <c r="Q566" s="138"/>
      <c r="R566" s="138"/>
      <c r="T566" s="67"/>
      <c r="U566" s="67"/>
      <c r="V566" s="67"/>
      <c r="W566" s="67"/>
      <c r="X566" s="67"/>
      <c r="Y566" s="67"/>
    </row>
    <row r="567" spans="1:25" ht="18.75">
      <c r="A567" s="138"/>
      <c r="B567" s="138"/>
      <c r="C567" s="143" t="s">
        <v>478</v>
      </c>
      <c r="D567" s="141"/>
      <c r="E567" s="138"/>
      <c r="F567" s="138"/>
      <c r="G567" s="138"/>
      <c r="H567" s="138"/>
      <c r="I567" s="138"/>
      <c r="J567" s="138"/>
      <c r="K567" s="138"/>
      <c r="L567" s="138"/>
      <c r="M567" s="138"/>
      <c r="N567" s="138"/>
      <c r="O567" s="138"/>
      <c r="P567" s="138"/>
      <c r="Q567" s="138"/>
      <c r="R567" s="138"/>
      <c r="T567" s="67"/>
      <c r="U567" s="67"/>
      <c r="V567" s="67"/>
      <c r="W567" s="67"/>
      <c r="X567" s="67"/>
      <c r="Y567" s="67"/>
    </row>
    <row r="568" spans="1:25" ht="18.75">
      <c r="A568" s="138"/>
      <c r="B568" s="138"/>
      <c r="C568" s="138" t="s">
        <v>41</v>
      </c>
      <c r="D568" s="141"/>
      <c r="E568" s="138"/>
      <c r="F568" s="138"/>
      <c r="G568" s="138"/>
      <c r="H568" s="138"/>
      <c r="I568" s="138"/>
      <c r="J568" s="138"/>
      <c r="K568" s="138"/>
      <c r="L568" s="138"/>
      <c r="M568" s="138"/>
      <c r="N568" s="138"/>
      <c r="O568" s="138"/>
      <c r="P568" s="138"/>
      <c r="Q568" s="138"/>
      <c r="R568" s="138"/>
      <c r="T568" s="67"/>
      <c r="U568" s="67"/>
      <c r="V568" s="67"/>
      <c r="W568" s="67"/>
      <c r="X568" s="67"/>
      <c r="Y568" s="67"/>
    </row>
    <row r="569" spans="1:25" ht="18.75">
      <c r="A569" s="138">
        <v>1</v>
      </c>
      <c r="B569" s="138">
        <v>1</v>
      </c>
      <c r="C569" s="138" t="s">
        <v>71</v>
      </c>
      <c r="D569" s="137" t="s">
        <v>507</v>
      </c>
      <c r="E569" s="136">
        <f>'TISWADI '!D158</f>
        <v>0</v>
      </c>
      <c r="F569" s="136">
        <f>'TISWADI '!E158</f>
        <v>0</v>
      </c>
      <c r="G569" s="136">
        <f>'TISWADI '!F158</f>
        <v>0</v>
      </c>
      <c r="H569" s="136">
        <f>'TISWADI '!G158</f>
        <v>0</v>
      </c>
      <c r="I569" s="136">
        <f>'TISWADI '!H158</f>
        <v>0</v>
      </c>
      <c r="J569" s="136">
        <f>'TISWADI '!I158</f>
        <v>0</v>
      </c>
      <c r="K569" s="136">
        <f>'TISWADI '!J158</f>
        <v>95210.16530438907</v>
      </c>
      <c r="L569" s="136">
        <f>'TISWADI '!K158</f>
        <v>24408.336489223526</v>
      </c>
      <c r="M569" s="136">
        <f>'TISWADI '!L158</f>
        <v>37278.18663808683</v>
      </c>
      <c r="N569" s="136">
        <f>'TISWADI '!M158</f>
        <v>55029.70408479486</v>
      </c>
      <c r="O569" s="136">
        <f>'TISWADI '!N158</f>
        <v>44.84</v>
      </c>
      <c r="P569" s="136">
        <f>'TISWADI '!O158</f>
        <v>277.14</v>
      </c>
      <c r="Q569" s="136">
        <f>'TISWADI '!P158</f>
        <v>572.6785714285714</v>
      </c>
      <c r="R569" s="136">
        <f>'TISWADI '!S158</f>
        <v>212821.05108792285</v>
      </c>
      <c r="T569" s="66">
        <v>0</v>
      </c>
      <c r="U569" s="66">
        <v>0</v>
      </c>
      <c r="V569" s="66">
        <v>0</v>
      </c>
      <c r="W569" s="66">
        <v>22082.4522937699</v>
      </c>
      <c r="X569" s="66">
        <v>185401.025737191</v>
      </c>
      <c r="Y569" s="66">
        <v>207483.478030961</v>
      </c>
    </row>
    <row r="570" spans="1:25" ht="18.75">
      <c r="A570" s="138"/>
      <c r="B570" s="138"/>
      <c r="C570" s="138"/>
      <c r="D570" s="141"/>
      <c r="E570" s="138"/>
      <c r="F570" s="138"/>
      <c r="G570" s="138"/>
      <c r="H570" s="138"/>
      <c r="I570" s="138"/>
      <c r="J570" s="138"/>
      <c r="K570" s="138"/>
      <c r="L570" s="138"/>
      <c r="M570" s="138"/>
      <c r="N570" s="138"/>
      <c r="O570" s="138"/>
      <c r="P570" s="138"/>
      <c r="Q570" s="138"/>
      <c r="R570" s="138"/>
      <c r="T570" s="67"/>
      <c r="U570" s="67"/>
      <c r="V570" s="67"/>
      <c r="W570" s="67"/>
      <c r="X570" s="67"/>
      <c r="Y570" s="67"/>
    </row>
    <row r="571" spans="1:25" ht="18.75">
      <c r="A571" s="138"/>
      <c r="B571" s="138"/>
      <c r="C571" s="138" t="s">
        <v>42</v>
      </c>
      <c r="D571" s="141"/>
      <c r="E571" s="138"/>
      <c r="F571" s="138"/>
      <c r="G571" s="138"/>
      <c r="H571" s="138"/>
      <c r="I571" s="138"/>
      <c r="J571" s="138"/>
      <c r="K571" s="138"/>
      <c r="L571" s="138"/>
      <c r="M571" s="138"/>
      <c r="N571" s="138"/>
      <c r="O571" s="138"/>
      <c r="P571" s="138"/>
      <c r="Q571" s="138"/>
      <c r="R571" s="138"/>
      <c r="T571" s="67"/>
      <c r="U571" s="67"/>
      <c r="V571" s="67"/>
      <c r="W571" s="67"/>
      <c r="X571" s="67"/>
      <c r="Y571" s="67"/>
    </row>
    <row r="572" spans="1:25" ht="18.75">
      <c r="A572" s="138">
        <v>1</v>
      </c>
      <c r="B572" s="138">
        <v>2</v>
      </c>
      <c r="C572" s="138" t="s">
        <v>344</v>
      </c>
      <c r="D572" s="137" t="s">
        <v>507</v>
      </c>
      <c r="E572" s="136">
        <f>BARDEZ!D236</f>
        <v>0</v>
      </c>
      <c r="F572" s="136">
        <f>BARDEZ!E236</f>
        <v>0</v>
      </c>
      <c r="G572" s="136">
        <f>BARDEZ!F236</f>
        <v>0</v>
      </c>
      <c r="H572" s="136">
        <f>BARDEZ!G236</f>
        <v>0</v>
      </c>
      <c r="I572" s="136">
        <f>BARDEZ!H236</f>
        <v>0</v>
      </c>
      <c r="J572" s="136">
        <f>BARDEZ!I236</f>
        <v>0</v>
      </c>
      <c r="K572" s="136">
        <f>BARDEZ!J236</f>
        <v>522.8832764606358</v>
      </c>
      <c r="L572" s="136">
        <f>BARDEZ!K236</f>
        <v>499.5371976489997</v>
      </c>
      <c r="M572" s="136">
        <f>BARDEZ!L236</f>
        <v>762.9295382275632</v>
      </c>
      <c r="N572" s="136">
        <f>BARDEZ!M236</f>
        <v>1126.2293183359266</v>
      </c>
      <c r="O572" s="136">
        <f>BARDEZ!N236</f>
        <v>39.2375</v>
      </c>
      <c r="P572" s="136">
        <f>BARDEZ!O236</f>
        <v>240</v>
      </c>
      <c r="Q572" s="136">
        <f>BARDEZ!P236</f>
        <v>495</v>
      </c>
      <c r="R572" s="136">
        <f>BARDEZ!R236</f>
        <v>3685.8168306731254</v>
      </c>
      <c r="T572" s="66">
        <v>0</v>
      </c>
      <c r="U572" s="66">
        <v>0</v>
      </c>
      <c r="V572" s="66">
        <v>0</v>
      </c>
      <c r="W572" s="66">
        <v>121.274288</v>
      </c>
      <c r="X572" s="66">
        <v>3794.3884</v>
      </c>
      <c r="Y572" s="66">
        <v>3914.662688</v>
      </c>
    </row>
    <row r="573" spans="1:25" ht="18.75">
      <c r="A573" s="138"/>
      <c r="B573" s="138"/>
      <c r="C573" s="138"/>
      <c r="D573" s="141"/>
      <c r="E573" s="138"/>
      <c r="F573" s="138"/>
      <c r="G573" s="138"/>
      <c r="H573" s="138"/>
      <c r="I573" s="138"/>
      <c r="J573" s="138"/>
      <c r="K573" s="138"/>
      <c r="L573" s="138"/>
      <c r="M573" s="138"/>
      <c r="N573" s="138"/>
      <c r="O573" s="138"/>
      <c r="P573" s="138"/>
      <c r="Q573" s="138"/>
      <c r="R573" s="138"/>
      <c r="T573" s="67"/>
      <c r="U573" s="67"/>
      <c r="V573" s="67"/>
      <c r="W573" s="67"/>
      <c r="X573" s="67"/>
      <c r="Y573" s="67"/>
    </row>
    <row r="574" spans="1:25" ht="18.75">
      <c r="A574" s="138"/>
      <c r="B574" s="138"/>
      <c r="C574" s="138"/>
      <c r="D574" s="141"/>
      <c r="E574" s="138"/>
      <c r="F574" s="138"/>
      <c r="G574" s="138"/>
      <c r="H574" s="138"/>
      <c r="I574" s="138"/>
      <c r="J574" s="138"/>
      <c r="K574" s="138"/>
      <c r="L574" s="138"/>
      <c r="M574" s="138"/>
      <c r="N574" s="138"/>
      <c r="O574" s="138"/>
      <c r="P574" s="138"/>
      <c r="Q574" s="138"/>
      <c r="R574" s="138"/>
      <c r="T574" s="67"/>
      <c r="U574" s="67"/>
      <c r="V574" s="67"/>
      <c r="W574" s="67"/>
      <c r="X574" s="67"/>
      <c r="Y574" s="67"/>
    </row>
    <row r="575" spans="1:25" ht="18.75">
      <c r="A575" s="145">
        <v>3</v>
      </c>
      <c r="B575" s="143"/>
      <c r="C575" s="143" t="s">
        <v>17</v>
      </c>
      <c r="D575" s="144"/>
      <c r="E575" s="145">
        <f aca="true" t="shared" si="32" ref="E575:R575">E569+E572</f>
        <v>0</v>
      </c>
      <c r="F575" s="145">
        <f t="shared" si="32"/>
        <v>0</v>
      </c>
      <c r="G575" s="145">
        <f t="shared" si="32"/>
        <v>0</v>
      </c>
      <c r="H575" s="145">
        <f t="shared" si="32"/>
        <v>0</v>
      </c>
      <c r="I575" s="145">
        <f t="shared" si="32"/>
        <v>0</v>
      </c>
      <c r="J575" s="145">
        <f t="shared" si="32"/>
        <v>0</v>
      </c>
      <c r="K575" s="145">
        <f t="shared" si="32"/>
        <v>95733.0485808497</v>
      </c>
      <c r="L575" s="145">
        <f t="shared" si="32"/>
        <v>24907.873686872525</v>
      </c>
      <c r="M575" s="145">
        <f t="shared" si="32"/>
        <v>38041.11617631439</v>
      </c>
      <c r="N575" s="145">
        <f t="shared" si="32"/>
        <v>56155.93340313079</v>
      </c>
      <c r="O575" s="145">
        <f t="shared" si="32"/>
        <v>84.0775</v>
      </c>
      <c r="P575" s="145">
        <f t="shared" si="32"/>
        <v>517.14</v>
      </c>
      <c r="Q575" s="145">
        <f t="shared" si="32"/>
        <v>1067.6785714285716</v>
      </c>
      <c r="R575" s="145">
        <f t="shared" si="32"/>
        <v>216506.867918596</v>
      </c>
      <c r="T575" s="71">
        <v>0</v>
      </c>
      <c r="U575" s="71">
        <v>0</v>
      </c>
      <c r="V575" s="71">
        <v>0</v>
      </c>
      <c r="W575" s="71">
        <v>22446.2751577699</v>
      </c>
      <c r="X575" s="71">
        <v>192988.802537191</v>
      </c>
      <c r="Y575" s="71">
        <v>215435.077694961</v>
      </c>
    </row>
    <row r="576" spans="1:25" ht="18.75">
      <c r="A576" s="138"/>
      <c r="B576" s="138"/>
      <c r="C576" s="138"/>
      <c r="D576" s="141"/>
      <c r="E576" s="138"/>
      <c r="F576" s="138"/>
      <c r="G576" s="138"/>
      <c r="H576" s="138"/>
      <c r="I576" s="138"/>
      <c r="J576" s="138"/>
      <c r="K576" s="138"/>
      <c r="L576" s="138"/>
      <c r="M576" s="138"/>
      <c r="N576" s="138"/>
      <c r="O576" s="138"/>
      <c r="P576" s="138"/>
      <c r="Q576" s="138"/>
      <c r="R576" s="138"/>
      <c r="T576" s="67"/>
      <c r="U576" s="67"/>
      <c r="V576" s="67"/>
      <c r="W576" s="67"/>
      <c r="X576" s="67"/>
      <c r="Y576" s="67"/>
    </row>
    <row r="577" spans="1:25" ht="18.75">
      <c r="A577" s="138"/>
      <c r="B577" s="138"/>
      <c r="C577" s="143" t="s">
        <v>523</v>
      </c>
      <c r="D577" s="141"/>
      <c r="E577" s="138"/>
      <c r="F577" s="138"/>
      <c r="G577" s="138"/>
      <c r="H577" s="138"/>
      <c r="I577" s="138"/>
      <c r="J577" s="138"/>
      <c r="K577" s="138"/>
      <c r="L577" s="138"/>
      <c r="M577" s="138"/>
      <c r="N577" s="138"/>
      <c r="O577" s="138"/>
      <c r="P577" s="138"/>
      <c r="Q577" s="138"/>
      <c r="R577" s="138"/>
      <c r="T577" s="67"/>
      <c r="U577" s="67"/>
      <c r="V577" s="67"/>
      <c r="W577" s="67"/>
      <c r="X577" s="67"/>
      <c r="Y577" s="67"/>
    </row>
    <row r="578" spans="1:25" ht="18.75">
      <c r="A578" s="138"/>
      <c r="B578" s="138"/>
      <c r="C578" s="138" t="s">
        <v>41</v>
      </c>
      <c r="D578" s="141"/>
      <c r="E578" s="138"/>
      <c r="F578" s="138"/>
      <c r="G578" s="138"/>
      <c r="H578" s="138"/>
      <c r="I578" s="138"/>
      <c r="J578" s="138"/>
      <c r="K578" s="138"/>
      <c r="L578" s="138"/>
      <c r="M578" s="138"/>
      <c r="N578" s="138"/>
      <c r="O578" s="138"/>
      <c r="P578" s="138"/>
      <c r="Q578" s="138"/>
      <c r="R578" s="138"/>
      <c r="T578" s="67"/>
      <c r="U578" s="67"/>
      <c r="V578" s="67"/>
      <c r="W578" s="67"/>
      <c r="X578" s="67"/>
      <c r="Y578" s="67"/>
    </row>
    <row r="579" spans="1:25" ht="18.75">
      <c r="A579" s="138">
        <v>1</v>
      </c>
      <c r="B579" s="138">
        <v>1</v>
      </c>
      <c r="C579" s="138" t="s">
        <v>184</v>
      </c>
      <c r="D579" s="137" t="s">
        <v>507</v>
      </c>
      <c r="E579" s="136">
        <f>'TISWADI '!D238</f>
        <v>0</v>
      </c>
      <c r="F579" s="136">
        <f>'TISWADI '!E238</f>
        <v>0</v>
      </c>
      <c r="G579" s="136">
        <f>'TISWADI '!F238</f>
        <v>0</v>
      </c>
      <c r="H579" s="136">
        <f>'TISWADI '!G238</f>
        <v>0</v>
      </c>
      <c r="I579" s="136">
        <f>'TISWADI '!H238</f>
        <v>0</v>
      </c>
      <c r="J579" s="136">
        <f>'TISWADI '!I238</f>
        <v>0</v>
      </c>
      <c r="K579" s="136">
        <f>'TISWADI '!J238</f>
        <v>522.8832764606358</v>
      </c>
      <c r="L579" s="136">
        <f>'TISWADI '!K238</f>
        <v>399.62975811919983</v>
      </c>
      <c r="M579" s="136">
        <f>'TISWADI '!L238</f>
        <v>610.3436305820507</v>
      </c>
      <c r="N579" s="136">
        <f>'TISWADI '!M238</f>
        <v>900.9834546687415</v>
      </c>
      <c r="O579" s="136">
        <f>'TISWADI '!N238</f>
        <v>44.84</v>
      </c>
      <c r="P579" s="136">
        <f>'TISWADI '!O238</f>
        <v>275</v>
      </c>
      <c r="Q579" s="136">
        <f>'TISWADI '!P238</f>
        <v>550</v>
      </c>
      <c r="R579" s="136">
        <f>'TISWADI '!S238</f>
        <v>3303.680119830628</v>
      </c>
      <c r="T579" s="66">
        <v>0</v>
      </c>
      <c r="U579" s="66">
        <v>0</v>
      </c>
      <c r="V579" s="66">
        <v>0</v>
      </c>
      <c r="W579" s="66">
        <v>121.274288</v>
      </c>
      <c r="X579" s="66">
        <v>3035.51072</v>
      </c>
      <c r="Y579" s="66">
        <v>3156.785008</v>
      </c>
    </row>
    <row r="580" spans="1:25" ht="18.75">
      <c r="A580" s="138"/>
      <c r="B580" s="138"/>
      <c r="C580" s="138"/>
      <c r="D580" s="141"/>
      <c r="E580" s="138"/>
      <c r="F580" s="138"/>
      <c r="G580" s="138"/>
      <c r="H580" s="138"/>
      <c r="I580" s="138"/>
      <c r="J580" s="138"/>
      <c r="K580" s="138"/>
      <c r="L580" s="138"/>
      <c r="M580" s="138"/>
      <c r="N580" s="138"/>
      <c r="O580" s="138"/>
      <c r="P580" s="138"/>
      <c r="Q580" s="138"/>
      <c r="R580" s="138"/>
      <c r="T580" s="67"/>
      <c r="U580" s="67"/>
      <c r="V580" s="67"/>
      <c r="W580" s="67"/>
      <c r="X580" s="67"/>
      <c r="Y580" s="67"/>
    </row>
    <row r="581" spans="1:25" ht="18.75">
      <c r="A581" s="138"/>
      <c r="B581" s="138"/>
      <c r="C581" s="138" t="s">
        <v>42</v>
      </c>
      <c r="D581" s="141"/>
      <c r="E581" s="138"/>
      <c r="F581" s="138"/>
      <c r="G581" s="138"/>
      <c r="H581" s="138"/>
      <c r="I581" s="138"/>
      <c r="J581" s="138"/>
      <c r="K581" s="138"/>
      <c r="L581" s="138"/>
      <c r="M581" s="138"/>
      <c r="N581" s="138"/>
      <c r="O581" s="138"/>
      <c r="P581" s="138"/>
      <c r="Q581" s="138"/>
      <c r="R581" s="138"/>
      <c r="T581" s="67"/>
      <c r="U581" s="67"/>
      <c r="V581" s="67"/>
      <c r="W581" s="67"/>
      <c r="X581" s="67"/>
      <c r="Y581" s="67"/>
    </row>
    <row r="582" spans="1:25" ht="18.75">
      <c r="A582" s="138">
        <v>1</v>
      </c>
      <c r="B582" s="138">
        <v>2</v>
      </c>
      <c r="C582" s="138" t="s">
        <v>355</v>
      </c>
      <c r="D582" s="137" t="s">
        <v>507</v>
      </c>
      <c r="E582" s="136">
        <f>BARDEZ!D264</f>
        <v>0</v>
      </c>
      <c r="F582" s="136">
        <f>BARDEZ!E264</f>
        <v>0</v>
      </c>
      <c r="G582" s="136">
        <f>BARDEZ!F264</f>
        <v>0</v>
      </c>
      <c r="H582" s="136">
        <f>BARDEZ!G264</f>
        <v>0</v>
      </c>
      <c r="I582" s="136">
        <f>BARDEZ!H264</f>
        <v>0</v>
      </c>
      <c r="J582" s="136">
        <f>BARDEZ!I264</f>
        <v>0</v>
      </c>
      <c r="K582" s="136">
        <f>BARDEZ!J264</f>
        <v>522.8832764606358</v>
      </c>
      <c r="L582" s="136">
        <f>BARDEZ!K264</f>
        <v>77.39502071732969</v>
      </c>
      <c r="M582" s="136">
        <f>BARDEZ!L264</f>
        <v>118.20330436828533</v>
      </c>
      <c r="N582" s="136">
        <f>BARDEZ!M264</f>
        <v>174.49059216270692</v>
      </c>
      <c r="O582" s="136">
        <f>BARDEZ!N264</f>
        <v>39.2375</v>
      </c>
      <c r="P582" s="136">
        <f>BARDEZ!O264</f>
        <v>240</v>
      </c>
      <c r="Q582" s="136">
        <f>BARDEZ!P264</f>
        <v>495</v>
      </c>
      <c r="R582" s="136">
        <f>BARDEZ!R264</f>
        <v>1667.2096937089577</v>
      </c>
      <c r="T582" s="66">
        <v>0</v>
      </c>
      <c r="U582" s="66">
        <v>0</v>
      </c>
      <c r="V582" s="66">
        <v>0</v>
      </c>
      <c r="W582" s="66">
        <v>121.274288</v>
      </c>
      <c r="X582" s="66">
        <v>587.87768</v>
      </c>
      <c r="Y582" s="66">
        <v>709.151968</v>
      </c>
    </row>
    <row r="583" spans="1:25" ht="18.75">
      <c r="A583" s="138"/>
      <c r="B583" s="138"/>
      <c r="C583" s="138"/>
      <c r="D583" s="141"/>
      <c r="E583" s="138"/>
      <c r="F583" s="138"/>
      <c r="G583" s="138"/>
      <c r="H583" s="138"/>
      <c r="I583" s="138"/>
      <c r="J583" s="138"/>
      <c r="K583" s="138"/>
      <c r="L583" s="138"/>
      <c r="M583" s="138"/>
      <c r="N583" s="138"/>
      <c r="O583" s="138"/>
      <c r="P583" s="138"/>
      <c r="Q583" s="138"/>
      <c r="R583" s="138"/>
      <c r="T583" s="67"/>
      <c r="U583" s="67"/>
      <c r="V583" s="67"/>
      <c r="W583" s="67"/>
      <c r="X583" s="67"/>
      <c r="Y583" s="67"/>
    </row>
    <row r="584" spans="1:25" ht="18.75">
      <c r="A584" s="145">
        <v>2</v>
      </c>
      <c r="B584" s="143"/>
      <c r="C584" s="143" t="s">
        <v>17</v>
      </c>
      <c r="D584" s="144"/>
      <c r="E584" s="145">
        <f aca="true" t="shared" si="33" ref="E584:R584">E579+E582</f>
        <v>0</v>
      </c>
      <c r="F584" s="145">
        <f t="shared" si="33"/>
        <v>0</v>
      </c>
      <c r="G584" s="145">
        <f t="shared" si="33"/>
        <v>0</v>
      </c>
      <c r="H584" s="145">
        <f t="shared" si="33"/>
        <v>0</v>
      </c>
      <c r="I584" s="145">
        <f t="shared" si="33"/>
        <v>0</v>
      </c>
      <c r="J584" s="145">
        <f t="shared" si="33"/>
        <v>0</v>
      </c>
      <c r="K584" s="145">
        <f t="shared" si="33"/>
        <v>1045.7665529212716</v>
      </c>
      <c r="L584" s="145">
        <f t="shared" si="33"/>
        <v>477.02477883652955</v>
      </c>
      <c r="M584" s="145">
        <f t="shared" si="33"/>
        <v>728.546934950336</v>
      </c>
      <c r="N584" s="145">
        <f t="shared" si="33"/>
        <v>1075.4740468314485</v>
      </c>
      <c r="O584" s="145">
        <f t="shared" si="33"/>
        <v>84.0775</v>
      </c>
      <c r="P584" s="145">
        <f t="shared" si="33"/>
        <v>515</v>
      </c>
      <c r="Q584" s="145">
        <f t="shared" si="33"/>
        <v>1045</v>
      </c>
      <c r="R584" s="145">
        <f t="shared" si="33"/>
        <v>4970.889813539586</v>
      </c>
      <c r="T584" s="71">
        <v>0</v>
      </c>
      <c r="U584" s="71">
        <v>0</v>
      </c>
      <c r="V584" s="71">
        <v>0</v>
      </c>
      <c r="W584" s="71">
        <v>241.548576</v>
      </c>
      <c r="X584" s="71">
        <v>3624.3884</v>
      </c>
      <c r="Y584" s="71">
        <v>3865.936976</v>
      </c>
    </row>
    <row r="585" spans="1:25" ht="18.75">
      <c r="A585" s="138"/>
      <c r="B585" s="138"/>
      <c r="C585" s="138"/>
      <c r="D585" s="141"/>
      <c r="E585" s="138"/>
      <c r="F585" s="138"/>
      <c r="G585" s="138"/>
      <c r="H585" s="138"/>
      <c r="I585" s="138"/>
      <c r="J585" s="138"/>
      <c r="K585" s="138"/>
      <c r="L585" s="138"/>
      <c r="M585" s="138"/>
      <c r="N585" s="138"/>
      <c r="O585" s="138"/>
      <c r="P585" s="138"/>
      <c r="Q585" s="138"/>
      <c r="R585" s="138"/>
      <c r="T585" s="67"/>
      <c r="U585" s="67"/>
      <c r="V585" s="67"/>
      <c r="W585" s="67"/>
      <c r="X585" s="67"/>
      <c r="Y585" s="67"/>
    </row>
    <row r="586" spans="1:25" ht="18.75">
      <c r="A586" s="138"/>
      <c r="B586" s="138"/>
      <c r="C586" s="138"/>
      <c r="D586" s="141"/>
      <c r="E586" s="138"/>
      <c r="F586" s="138"/>
      <c r="G586" s="138"/>
      <c r="H586" s="138"/>
      <c r="I586" s="138"/>
      <c r="J586" s="138"/>
      <c r="K586" s="138"/>
      <c r="L586" s="138"/>
      <c r="M586" s="138"/>
      <c r="N586" s="138"/>
      <c r="O586" s="138"/>
      <c r="P586" s="138"/>
      <c r="Q586" s="138"/>
      <c r="R586" s="138"/>
      <c r="T586" s="67"/>
      <c r="U586" s="67"/>
      <c r="V586" s="67"/>
      <c r="W586" s="67"/>
      <c r="X586" s="67"/>
      <c r="Y586" s="67"/>
    </row>
    <row r="587" spans="1:25" ht="18.75">
      <c r="A587" s="138"/>
      <c r="B587" s="138"/>
      <c r="C587" s="143" t="s">
        <v>524</v>
      </c>
      <c r="D587" s="141"/>
      <c r="E587" s="138"/>
      <c r="F587" s="138"/>
      <c r="G587" s="138"/>
      <c r="H587" s="138"/>
      <c r="I587" s="138"/>
      <c r="J587" s="138"/>
      <c r="K587" s="138"/>
      <c r="L587" s="138"/>
      <c r="M587" s="138"/>
      <c r="N587" s="138"/>
      <c r="O587" s="138"/>
      <c r="P587" s="138"/>
      <c r="Q587" s="138"/>
      <c r="R587" s="138"/>
      <c r="T587" s="67"/>
      <c r="U587" s="67"/>
      <c r="V587" s="67"/>
      <c r="W587" s="67"/>
      <c r="X587" s="67"/>
      <c r="Y587" s="67"/>
    </row>
    <row r="588" spans="1:25" ht="18.75">
      <c r="A588" s="138"/>
      <c r="B588" s="138"/>
      <c r="C588" s="138" t="s">
        <v>41</v>
      </c>
      <c r="D588" s="141"/>
      <c r="E588" s="138"/>
      <c r="F588" s="138"/>
      <c r="G588" s="138"/>
      <c r="H588" s="138"/>
      <c r="I588" s="138"/>
      <c r="J588" s="138"/>
      <c r="K588" s="138"/>
      <c r="L588" s="138"/>
      <c r="M588" s="138"/>
      <c r="N588" s="138"/>
      <c r="O588" s="138"/>
      <c r="P588" s="138"/>
      <c r="Q588" s="138"/>
      <c r="R588" s="138"/>
      <c r="T588" s="67"/>
      <c r="U588" s="67"/>
      <c r="V588" s="67"/>
      <c r="W588" s="67"/>
      <c r="X588" s="67"/>
      <c r="Y588" s="67"/>
    </row>
    <row r="589" spans="1:25" ht="18.75">
      <c r="A589" s="138">
        <v>1</v>
      </c>
      <c r="B589" s="138">
        <v>1</v>
      </c>
      <c r="C589" s="143" t="s">
        <v>185</v>
      </c>
      <c r="D589" s="144" t="s">
        <v>507</v>
      </c>
      <c r="E589" s="145">
        <f>'TISWADI '!D240</f>
        <v>0</v>
      </c>
      <c r="F589" s="145">
        <f>'TISWADI '!E240</f>
        <v>0</v>
      </c>
      <c r="G589" s="145">
        <f>'TISWADI '!F240</f>
        <v>0</v>
      </c>
      <c r="H589" s="145">
        <f>'TISWADI '!G240</f>
        <v>0</v>
      </c>
      <c r="I589" s="145">
        <f>'TISWADI '!H240</f>
        <v>0</v>
      </c>
      <c r="J589" s="145">
        <f>'TISWADI '!I240</f>
        <v>0</v>
      </c>
      <c r="K589" s="145">
        <f>'TISWADI '!J240</f>
        <v>0</v>
      </c>
      <c r="L589" s="145">
        <f>'TISWADI '!K240</f>
        <v>41638.63580880783</v>
      </c>
      <c r="M589" s="145">
        <f>'TISWADI '!L240</f>
        <v>62599.825598906486</v>
      </c>
      <c r="N589" s="145">
        <f>'TISWADI '!M240</f>
        <v>96130.74255076674</v>
      </c>
      <c r="O589" s="145">
        <f>'TISWADI '!N240</f>
        <v>44.84</v>
      </c>
      <c r="P589" s="145">
        <f>'TISWADI '!O240</f>
        <v>275</v>
      </c>
      <c r="Q589" s="145">
        <f>'TISWADI '!P240</f>
        <v>550</v>
      </c>
      <c r="R589" s="145">
        <f>'TISWADI '!S240</f>
        <v>201239.04395848105</v>
      </c>
      <c r="T589" s="71">
        <v>0</v>
      </c>
      <c r="U589" s="71">
        <v>0</v>
      </c>
      <c r="V589" s="71">
        <v>0</v>
      </c>
      <c r="W589" s="71">
        <v>0</v>
      </c>
      <c r="X589" s="71">
        <v>323874.870312351</v>
      </c>
      <c r="Y589" s="71">
        <v>323874.870312351</v>
      </c>
    </row>
    <row r="590" spans="1:25" ht="18.75">
      <c r="A590" s="138"/>
      <c r="B590" s="138"/>
      <c r="C590" s="138"/>
      <c r="D590" s="141"/>
      <c r="E590" s="138"/>
      <c r="F590" s="138"/>
      <c r="G590" s="138"/>
      <c r="H590" s="138"/>
      <c r="I590" s="138"/>
      <c r="J590" s="138"/>
      <c r="K590" s="138"/>
      <c r="L590" s="138"/>
      <c r="M590" s="138"/>
      <c r="N590" s="138"/>
      <c r="O590" s="138"/>
      <c r="P590" s="138"/>
      <c r="Q590" s="138"/>
      <c r="R590" s="138"/>
      <c r="T590" s="67"/>
      <c r="U590" s="67"/>
      <c r="V590" s="67"/>
      <c r="W590" s="67"/>
      <c r="X590" s="67"/>
      <c r="Y590" s="67"/>
    </row>
    <row r="591" spans="1:25" ht="18.75">
      <c r="A591" s="138"/>
      <c r="B591" s="138"/>
      <c r="C591" s="143" t="s">
        <v>482</v>
      </c>
      <c r="D591" s="141"/>
      <c r="E591" s="138"/>
      <c r="F591" s="138"/>
      <c r="G591" s="138"/>
      <c r="H591" s="138"/>
      <c r="I591" s="138"/>
      <c r="J591" s="138"/>
      <c r="K591" s="138"/>
      <c r="L591" s="138"/>
      <c r="M591" s="138"/>
      <c r="N591" s="138"/>
      <c r="O591" s="138"/>
      <c r="P591" s="138"/>
      <c r="Q591" s="138"/>
      <c r="R591" s="138"/>
      <c r="T591" s="67"/>
      <c r="U591" s="67"/>
      <c r="V591" s="67"/>
      <c r="W591" s="67"/>
      <c r="X591" s="67"/>
      <c r="Y591" s="67"/>
    </row>
    <row r="592" spans="1:25" ht="18.75">
      <c r="A592" s="138"/>
      <c r="B592" s="138"/>
      <c r="C592" s="138" t="s">
        <v>41</v>
      </c>
      <c r="D592" s="141"/>
      <c r="E592" s="138"/>
      <c r="F592" s="138"/>
      <c r="G592" s="138"/>
      <c r="H592" s="138"/>
      <c r="I592" s="138"/>
      <c r="J592" s="138"/>
      <c r="K592" s="138"/>
      <c r="L592" s="138"/>
      <c r="M592" s="138"/>
      <c r="N592" s="138"/>
      <c r="O592" s="138"/>
      <c r="P592" s="138"/>
      <c r="Q592" s="138"/>
      <c r="R592" s="138"/>
      <c r="T592" s="67"/>
      <c r="U592" s="67"/>
      <c r="V592" s="67"/>
      <c r="W592" s="67"/>
      <c r="X592" s="67"/>
      <c r="Y592" s="67"/>
    </row>
    <row r="593" spans="1:25" ht="18.75">
      <c r="A593" s="138">
        <v>1</v>
      </c>
      <c r="B593" s="138">
        <v>1</v>
      </c>
      <c r="C593" s="138" t="s">
        <v>71</v>
      </c>
      <c r="D593" s="137" t="s">
        <v>507</v>
      </c>
      <c r="E593" s="136">
        <f>'TISWADI '!D116</f>
        <v>0</v>
      </c>
      <c r="F593" s="136">
        <f>'TISWADI '!E116</f>
        <v>0</v>
      </c>
      <c r="G593" s="136">
        <f>'TISWADI '!F116</f>
        <v>0</v>
      </c>
      <c r="H593" s="136">
        <f>'TISWADI '!G116</f>
        <v>0</v>
      </c>
      <c r="I593" s="136">
        <f>'TISWADI '!H116</f>
        <v>0</v>
      </c>
      <c r="J593" s="136">
        <f>'TISWADI '!I116</f>
        <v>0</v>
      </c>
      <c r="K593" s="136">
        <f>'TISWADI '!J116</f>
        <v>22321.20696102691</v>
      </c>
      <c r="L593" s="136">
        <f>'TISWADI '!K116</f>
        <v>5541.074059381222</v>
      </c>
      <c r="M593" s="136">
        <f>'TISWADI '!L116</f>
        <v>8462.73129069132</v>
      </c>
      <c r="N593" s="136">
        <f>'TISWADI '!M116</f>
        <v>12492.603333877663</v>
      </c>
      <c r="O593" s="136">
        <f>'TISWADI '!N116</f>
        <v>44.84</v>
      </c>
      <c r="P593" s="136">
        <f>'TISWADI '!O116</f>
        <v>277.14</v>
      </c>
      <c r="Q593" s="136">
        <f>'TISWADI '!P116</f>
        <v>572.6785714285714</v>
      </c>
      <c r="R593" s="136">
        <f>'TISWADI '!S116</f>
        <v>49712.27421640568</v>
      </c>
      <c r="T593" s="66">
        <v>0</v>
      </c>
      <c r="U593" s="66">
        <v>0</v>
      </c>
      <c r="V593" s="66">
        <v>0</v>
      </c>
      <c r="W593" s="66">
        <v>5177.0416139958</v>
      </c>
      <c r="X593" s="66">
        <v>42088.931982259</v>
      </c>
      <c r="Y593" s="66">
        <v>47265.9735962548</v>
      </c>
    </row>
    <row r="594" spans="1:25" ht="18.75">
      <c r="A594" s="138"/>
      <c r="B594" s="138"/>
      <c r="C594" s="138"/>
      <c r="D594" s="141"/>
      <c r="E594" s="138"/>
      <c r="F594" s="138"/>
      <c r="G594" s="138"/>
      <c r="H594" s="138"/>
      <c r="I594" s="138"/>
      <c r="J594" s="138"/>
      <c r="K594" s="138"/>
      <c r="L594" s="138"/>
      <c r="M594" s="138"/>
      <c r="N594" s="138"/>
      <c r="O594" s="138"/>
      <c r="P594" s="138"/>
      <c r="Q594" s="138"/>
      <c r="R594" s="138"/>
      <c r="T594" s="67"/>
      <c r="U594" s="67"/>
      <c r="V594" s="67"/>
      <c r="W594" s="67"/>
      <c r="X594" s="67"/>
      <c r="Y594" s="67"/>
    </row>
    <row r="595" spans="1:25" ht="18.75">
      <c r="A595" s="138"/>
      <c r="B595" s="138"/>
      <c r="C595" s="138" t="s">
        <v>42</v>
      </c>
      <c r="D595" s="141"/>
      <c r="E595" s="138"/>
      <c r="F595" s="138"/>
      <c r="G595" s="138"/>
      <c r="H595" s="138"/>
      <c r="I595" s="138"/>
      <c r="J595" s="138"/>
      <c r="K595" s="138"/>
      <c r="L595" s="138"/>
      <c r="M595" s="138"/>
      <c r="N595" s="138"/>
      <c r="O595" s="138"/>
      <c r="P595" s="138"/>
      <c r="Q595" s="138"/>
      <c r="R595" s="138"/>
      <c r="T595" s="67"/>
      <c r="U595" s="67"/>
      <c r="V595" s="67"/>
      <c r="W595" s="67"/>
      <c r="X595" s="67"/>
      <c r="Y595" s="67"/>
    </row>
    <row r="596" spans="1:25" ht="18.75">
      <c r="A596" s="138"/>
      <c r="B596" s="138">
        <v>2</v>
      </c>
      <c r="C596" s="138" t="s">
        <v>281</v>
      </c>
      <c r="D596" s="137" t="s">
        <v>507</v>
      </c>
      <c r="E596" s="136">
        <f>BARDEZ!D116</f>
        <v>0</v>
      </c>
      <c r="F596" s="136">
        <f>BARDEZ!E116</f>
        <v>0</v>
      </c>
      <c r="G596" s="136">
        <f>BARDEZ!F116</f>
        <v>0</v>
      </c>
      <c r="H596" s="136">
        <f>BARDEZ!G116</f>
        <v>0</v>
      </c>
      <c r="I596" s="136">
        <f>BARDEZ!H116</f>
        <v>0</v>
      </c>
      <c r="J596" s="136">
        <f>BARDEZ!I116</f>
        <v>0</v>
      </c>
      <c r="K596" s="136">
        <f>BARDEZ!J116</f>
        <v>16166.61056140408</v>
      </c>
      <c r="L596" s="136">
        <f>BARDEZ!K116</f>
        <v>4180.651242652687</v>
      </c>
      <c r="M596" s="136">
        <f>BARDEZ!L116</f>
        <v>6384.994625142285</v>
      </c>
      <c r="N596" s="136">
        <f>BARDEZ!M116</f>
        <v>9425.468256162421</v>
      </c>
      <c r="O596" s="136">
        <f>BARDEZ!N116</f>
        <v>39.2375</v>
      </c>
      <c r="P596" s="136">
        <f>BARDEZ!O116</f>
        <v>240</v>
      </c>
      <c r="Q596" s="136">
        <f>BARDEZ!P116</f>
        <v>501.09375</v>
      </c>
      <c r="R596" s="136">
        <f>BARDEZ!R116</f>
        <v>36938.05593536148</v>
      </c>
      <c r="T596" s="66">
        <v>0</v>
      </c>
      <c r="U596" s="66">
        <v>0</v>
      </c>
      <c r="V596" s="66">
        <v>0</v>
      </c>
      <c r="W596" s="66">
        <v>3749.58288679397</v>
      </c>
      <c r="X596" s="66">
        <v>31755.4221271688</v>
      </c>
      <c r="Y596" s="66">
        <v>35505.0050139628</v>
      </c>
    </row>
    <row r="597" spans="1:25" ht="18.75">
      <c r="A597" s="138"/>
      <c r="B597" s="138">
        <v>3</v>
      </c>
      <c r="C597" s="138" t="s">
        <v>282</v>
      </c>
      <c r="D597" s="137" t="s">
        <v>507</v>
      </c>
      <c r="E597" s="136">
        <f>BARDEZ!D117</f>
        <v>0</v>
      </c>
      <c r="F597" s="136">
        <f>BARDEZ!E117</f>
        <v>0</v>
      </c>
      <c r="G597" s="136">
        <f>BARDEZ!F117</f>
        <v>0</v>
      </c>
      <c r="H597" s="136">
        <f>BARDEZ!G117</f>
        <v>0</v>
      </c>
      <c r="I597" s="136">
        <f>BARDEZ!H117</f>
        <v>0</v>
      </c>
      <c r="J597" s="136">
        <f>BARDEZ!I117</f>
        <v>0</v>
      </c>
      <c r="K597" s="136">
        <f>BARDEZ!J117</f>
        <v>522.8832764606358</v>
      </c>
      <c r="L597" s="136">
        <f>BARDEZ!K117</f>
        <v>99.90743952979996</v>
      </c>
      <c r="M597" s="136">
        <f>BARDEZ!L117</f>
        <v>152.58590764551266</v>
      </c>
      <c r="N597" s="136">
        <f>BARDEZ!M117</f>
        <v>225.24586366718538</v>
      </c>
      <c r="O597" s="136">
        <f>BARDEZ!N117</f>
        <v>39.2375</v>
      </c>
      <c r="P597" s="136">
        <f>BARDEZ!O117</f>
        <v>240</v>
      </c>
      <c r="Q597" s="136">
        <f>BARDEZ!P117</f>
        <v>501.09375</v>
      </c>
      <c r="R597" s="136">
        <f>BARDEZ!R117</f>
        <v>1780.9537373031337</v>
      </c>
      <c r="T597" s="66">
        <v>0</v>
      </c>
      <c r="U597" s="66">
        <v>0</v>
      </c>
      <c r="V597" s="66">
        <v>0</v>
      </c>
      <c r="W597" s="66">
        <v>121.274288</v>
      </c>
      <c r="X597" s="66">
        <v>758.87768</v>
      </c>
      <c r="Y597" s="66">
        <v>880.151968</v>
      </c>
    </row>
    <row r="598" spans="1:25" ht="18.75">
      <c r="A598" s="138">
        <v>2</v>
      </c>
      <c r="B598" s="138"/>
      <c r="C598" s="138" t="s">
        <v>78</v>
      </c>
      <c r="D598" s="137"/>
      <c r="E598" s="136">
        <f>BARDEZ!D118</f>
        <v>0</v>
      </c>
      <c r="F598" s="136">
        <f>BARDEZ!E118</f>
        <v>0</v>
      </c>
      <c r="G598" s="136">
        <f>BARDEZ!F118</f>
        <v>0</v>
      </c>
      <c r="H598" s="136">
        <f>BARDEZ!G118</f>
        <v>0</v>
      </c>
      <c r="I598" s="136">
        <f>BARDEZ!H118</f>
        <v>0</v>
      </c>
      <c r="J598" s="136">
        <f>BARDEZ!I118</f>
        <v>0</v>
      </c>
      <c r="K598" s="136">
        <f>BARDEZ!J118</f>
        <v>16689.493837864717</v>
      </c>
      <c r="L598" s="136">
        <f>BARDEZ!K118</f>
        <v>4280.558682182487</v>
      </c>
      <c r="M598" s="136">
        <f>BARDEZ!L118</f>
        <v>6537.580532787798</v>
      </c>
      <c r="N598" s="136">
        <f>BARDEZ!M118</f>
        <v>9650.714119829607</v>
      </c>
      <c r="O598" s="136">
        <f>BARDEZ!N118</f>
        <v>78.475</v>
      </c>
      <c r="P598" s="136">
        <f>BARDEZ!O118</f>
        <v>480</v>
      </c>
      <c r="Q598" s="136">
        <f>BARDEZ!P118</f>
        <v>1002.1875</v>
      </c>
      <c r="R598" s="136">
        <f>BARDEZ!R118</f>
        <v>38719.009672664615</v>
      </c>
      <c r="T598" s="66">
        <v>0</v>
      </c>
      <c r="U598" s="66">
        <v>0</v>
      </c>
      <c r="V598" s="66">
        <v>0</v>
      </c>
      <c r="W598" s="66">
        <v>3870.85717479397</v>
      </c>
      <c r="X598" s="66">
        <v>32514.2998071688</v>
      </c>
      <c r="Y598" s="66">
        <v>36385.1569819628</v>
      </c>
    </row>
    <row r="599" spans="1:25" ht="18.75">
      <c r="A599" s="138"/>
      <c r="B599" s="138"/>
      <c r="C599" s="138"/>
      <c r="D599" s="141"/>
      <c r="E599" s="138"/>
      <c r="F599" s="138"/>
      <c r="G599" s="138"/>
      <c r="H599" s="138"/>
      <c r="I599" s="138"/>
      <c r="J599" s="138"/>
      <c r="K599" s="138"/>
      <c r="L599" s="138"/>
      <c r="M599" s="138"/>
      <c r="N599" s="138"/>
      <c r="O599" s="138"/>
      <c r="P599" s="138"/>
      <c r="Q599" s="138"/>
      <c r="R599" s="138"/>
      <c r="T599" s="67"/>
      <c r="U599" s="67"/>
      <c r="V599" s="67"/>
      <c r="W599" s="67"/>
      <c r="X599" s="67"/>
      <c r="Y599" s="67"/>
    </row>
    <row r="600" spans="1:25" ht="18.75">
      <c r="A600" s="136">
        <v>4</v>
      </c>
      <c r="B600" s="138"/>
      <c r="C600" s="143" t="s">
        <v>17</v>
      </c>
      <c r="D600" s="144"/>
      <c r="E600" s="145">
        <f aca="true" t="shared" si="34" ref="E600:R600">E593+E598</f>
        <v>0</v>
      </c>
      <c r="F600" s="145">
        <f t="shared" si="34"/>
        <v>0</v>
      </c>
      <c r="G600" s="145">
        <f t="shared" si="34"/>
        <v>0</v>
      </c>
      <c r="H600" s="145">
        <f t="shared" si="34"/>
        <v>0</v>
      </c>
      <c r="I600" s="145">
        <f t="shared" si="34"/>
        <v>0</v>
      </c>
      <c r="J600" s="145">
        <f t="shared" si="34"/>
        <v>0</v>
      </c>
      <c r="K600" s="145">
        <f t="shared" si="34"/>
        <v>39010.70079889163</v>
      </c>
      <c r="L600" s="145">
        <f t="shared" si="34"/>
        <v>9821.63274156371</v>
      </c>
      <c r="M600" s="145">
        <f t="shared" si="34"/>
        <v>15000.311823479118</v>
      </c>
      <c r="N600" s="145">
        <f t="shared" si="34"/>
        <v>22143.31745370727</v>
      </c>
      <c r="O600" s="145">
        <f t="shared" si="34"/>
        <v>123.315</v>
      </c>
      <c r="P600" s="145">
        <f t="shared" si="34"/>
        <v>757.14</v>
      </c>
      <c r="Q600" s="145">
        <f t="shared" si="34"/>
        <v>1574.8660714285716</v>
      </c>
      <c r="R600" s="145">
        <f t="shared" si="34"/>
        <v>88431.2838890703</v>
      </c>
      <c r="T600" s="71">
        <v>41433.0466872514</v>
      </c>
      <c r="U600" s="71">
        <v>15200.8470407996</v>
      </c>
      <c r="V600" s="71">
        <v>56633.893728051</v>
      </c>
      <c r="W600" s="71">
        <v>10384.5556512117</v>
      </c>
      <c r="X600" s="71">
        <v>108958.606238442</v>
      </c>
      <c r="Y600" s="71">
        <v>175978.055617705</v>
      </c>
    </row>
    <row r="601" spans="1:25" ht="18.75">
      <c r="A601" s="138"/>
      <c r="B601" s="138"/>
      <c r="C601" s="138"/>
      <c r="D601" s="141"/>
      <c r="E601" s="138"/>
      <c r="F601" s="138"/>
      <c r="G601" s="138"/>
      <c r="H601" s="138"/>
      <c r="I601" s="138"/>
      <c r="J601" s="138"/>
      <c r="K601" s="138"/>
      <c r="L601" s="138"/>
      <c r="M601" s="138"/>
      <c r="N601" s="138"/>
      <c r="O601" s="138"/>
      <c r="P601" s="138"/>
      <c r="Q601" s="138"/>
      <c r="R601" s="138"/>
      <c r="T601" s="67"/>
      <c r="U601" s="67"/>
      <c r="V601" s="67"/>
      <c r="W601" s="67"/>
      <c r="X601" s="67"/>
      <c r="Y601" s="67"/>
    </row>
    <row r="602" spans="1:25" ht="18.75">
      <c r="A602" s="138"/>
      <c r="B602" s="138"/>
      <c r="C602" s="143" t="s">
        <v>483</v>
      </c>
      <c r="D602" s="141"/>
      <c r="E602" s="138"/>
      <c r="F602" s="138"/>
      <c r="G602" s="138"/>
      <c r="H602" s="138"/>
      <c r="I602" s="138"/>
      <c r="J602" s="138"/>
      <c r="K602" s="138"/>
      <c r="L602" s="138"/>
      <c r="M602" s="138"/>
      <c r="N602" s="138"/>
      <c r="O602" s="138"/>
      <c r="P602" s="138"/>
      <c r="Q602" s="138"/>
      <c r="R602" s="138"/>
      <c r="T602" s="67"/>
      <c r="U602" s="67"/>
      <c r="V602" s="67"/>
      <c r="W602" s="67"/>
      <c r="X602" s="67"/>
      <c r="Y602" s="67"/>
    </row>
    <row r="603" spans="1:25" ht="18.75">
      <c r="A603" s="138"/>
      <c r="B603" s="138"/>
      <c r="C603" s="138" t="s">
        <v>41</v>
      </c>
      <c r="D603" s="141"/>
      <c r="E603" s="138"/>
      <c r="F603" s="138"/>
      <c r="G603" s="138"/>
      <c r="H603" s="138"/>
      <c r="I603" s="138"/>
      <c r="J603" s="138"/>
      <c r="K603" s="138"/>
      <c r="L603" s="138"/>
      <c r="M603" s="138"/>
      <c r="N603" s="138"/>
      <c r="O603" s="138"/>
      <c r="P603" s="138"/>
      <c r="Q603" s="138"/>
      <c r="R603" s="138"/>
      <c r="T603" s="67"/>
      <c r="U603" s="67"/>
      <c r="V603" s="67"/>
      <c r="W603" s="67"/>
      <c r="X603" s="67"/>
      <c r="Y603" s="67"/>
    </row>
    <row r="604" spans="1:25" ht="18.75">
      <c r="A604" s="138">
        <v>1</v>
      </c>
      <c r="B604" s="138">
        <v>1</v>
      </c>
      <c r="C604" s="138" t="s">
        <v>71</v>
      </c>
      <c r="D604" s="137" t="s">
        <v>507</v>
      </c>
      <c r="E604" s="136">
        <f>'TISWADI '!D273</f>
        <v>0</v>
      </c>
      <c r="F604" s="136">
        <f>'TISWADI '!E273</f>
        <v>0</v>
      </c>
      <c r="G604" s="136">
        <f>'TISWADI '!F273</f>
        <v>0</v>
      </c>
      <c r="H604" s="136">
        <f>'TISWADI '!G273</f>
        <v>0</v>
      </c>
      <c r="I604" s="136">
        <f>'TISWADI '!H273</f>
        <v>0</v>
      </c>
      <c r="J604" s="136">
        <f>'TISWADI '!I273</f>
        <v>0</v>
      </c>
      <c r="K604" s="136">
        <f>'TISWADI '!J273</f>
        <v>12085.691199848081</v>
      </c>
      <c r="L604" s="136">
        <f>'TISWADI '!K273</f>
        <v>4544.699320819737</v>
      </c>
      <c r="M604" s="136">
        <f>'TISWADI '!L273</f>
        <v>6942.522599070143</v>
      </c>
      <c r="N604" s="136">
        <f>'TISWADI '!M273</f>
        <v>10248.485741484497</v>
      </c>
      <c r="O604" s="136">
        <f>'TISWADI '!N273</f>
        <v>44</v>
      </c>
      <c r="P604" s="136">
        <f>'TISWADI '!O273</f>
        <v>275</v>
      </c>
      <c r="Q604" s="136">
        <f>'TISWADI '!P273</f>
        <v>550</v>
      </c>
      <c r="R604" s="136">
        <f>'TISWADI '!S273</f>
        <v>34690.39886122246</v>
      </c>
      <c r="T604" s="66">
        <v>0</v>
      </c>
      <c r="U604" s="66">
        <v>0</v>
      </c>
      <c r="V604" s="66">
        <v>0</v>
      </c>
      <c r="W604" s="66">
        <v>2803.07988652948</v>
      </c>
      <c r="X604" s="66">
        <v>34528.2570627017</v>
      </c>
      <c r="Y604" s="66">
        <v>37331.3369492312</v>
      </c>
    </row>
    <row r="605" spans="1:25" ht="18.75">
      <c r="A605" s="138"/>
      <c r="B605" s="138"/>
      <c r="C605" s="138"/>
      <c r="D605" s="141"/>
      <c r="E605" s="138"/>
      <c r="F605" s="138"/>
      <c r="G605" s="138"/>
      <c r="H605" s="138"/>
      <c r="I605" s="138"/>
      <c r="J605" s="138"/>
      <c r="K605" s="138"/>
      <c r="L605" s="138"/>
      <c r="M605" s="138"/>
      <c r="N605" s="138"/>
      <c r="O605" s="138"/>
      <c r="P605" s="138"/>
      <c r="Q605" s="138"/>
      <c r="R605" s="138"/>
      <c r="T605" s="67"/>
      <c r="U605" s="67"/>
      <c r="V605" s="67"/>
      <c r="W605" s="67"/>
      <c r="X605" s="67"/>
      <c r="Y605" s="67"/>
    </row>
    <row r="606" spans="1:25" ht="18.75">
      <c r="A606" s="138"/>
      <c r="B606" s="138"/>
      <c r="C606" s="138" t="s">
        <v>42</v>
      </c>
      <c r="D606" s="141"/>
      <c r="E606" s="138"/>
      <c r="F606" s="138"/>
      <c r="G606" s="138"/>
      <c r="H606" s="138"/>
      <c r="I606" s="138"/>
      <c r="J606" s="138"/>
      <c r="K606" s="138"/>
      <c r="L606" s="138"/>
      <c r="M606" s="138"/>
      <c r="N606" s="138"/>
      <c r="O606" s="138"/>
      <c r="P606" s="138"/>
      <c r="Q606" s="138"/>
      <c r="R606" s="138"/>
      <c r="T606" s="67"/>
      <c r="U606" s="67"/>
      <c r="V606" s="67"/>
      <c r="W606" s="67"/>
      <c r="X606" s="67"/>
      <c r="Y606" s="67"/>
    </row>
    <row r="607" spans="1:25" ht="18.75">
      <c r="A607" s="138"/>
      <c r="B607" s="138">
        <v>2</v>
      </c>
      <c r="C607" s="138" t="s">
        <v>319</v>
      </c>
      <c r="D607" s="137" t="s">
        <v>507</v>
      </c>
      <c r="E607" s="136">
        <f>BARDEZ!D184</f>
        <v>0</v>
      </c>
      <c r="F607" s="136">
        <f>BARDEZ!E184</f>
        <v>0</v>
      </c>
      <c r="G607" s="136">
        <f>BARDEZ!F184</f>
        <v>0</v>
      </c>
      <c r="H607" s="136">
        <f>BARDEZ!G184</f>
        <v>0</v>
      </c>
      <c r="I607" s="136">
        <f>BARDEZ!H184</f>
        <v>0</v>
      </c>
      <c r="J607" s="136">
        <f>BARDEZ!I184</f>
        <v>0</v>
      </c>
      <c r="K607" s="136">
        <f>BARDEZ!J184</f>
        <v>13824.045095000241</v>
      </c>
      <c r="L607" s="136">
        <f>BARDEZ!K184</f>
        <v>2099.627465098893</v>
      </c>
      <c r="M607" s="136">
        <f>BARDEZ!L184</f>
        <v>3206.7037648783094</v>
      </c>
      <c r="N607" s="136">
        <f>BARDEZ!M184</f>
        <v>4733.705557677505</v>
      </c>
      <c r="O607" s="136">
        <f>BARDEZ!N184</f>
        <v>39.2375</v>
      </c>
      <c r="P607" s="136">
        <f>BARDEZ!O184</f>
        <v>240</v>
      </c>
      <c r="Q607" s="136">
        <f>BARDEZ!P184</f>
        <v>495</v>
      </c>
      <c r="R607" s="136">
        <f>BARDEZ!R184</f>
        <v>24638.319382654947</v>
      </c>
      <c r="T607" s="66">
        <v>0</v>
      </c>
      <c r="U607" s="66">
        <v>0</v>
      </c>
      <c r="V607" s="66">
        <v>0</v>
      </c>
      <c r="W607" s="66">
        <v>3206.26285377528</v>
      </c>
      <c r="X607" s="66">
        <v>15948.3660784167</v>
      </c>
      <c r="Y607" s="66">
        <v>19153.628932192</v>
      </c>
    </row>
    <row r="608" spans="1:25" ht="18.75">
      <c r="A608" s="138"/>
      <c r="B608" s="138">
        <v>3</v>
      </c>
      <c r="C608" s="138" t="s">
        <v>320</v>
      </c>
      <c r="D608" s="137" t="s">
        <v>507</v>
      </c>
      <c r="E608" s="136">
        <f>BARDEZ!D185</f>
        <v>0</v>
      </c>
      <c r="F608" s="136">
        <f>BARDEZ!E185</f>
        <v>0</v>
      </c>
      <c r="G608" s="136">
        <f>BARDEZ!F185</f>
        <v>0</v>
      </c>
      <c r="H608" s="136">
        <f>BARDEZ!G185</f>
        <v>0</v>
      </c>
      <c r="I608" s="136">
        <f>BARDEZ!H185</f>
        <v>0</v>
      </c>
      <c r="J608" s="136">
        <f>BARDEZ!I185</f>
        <v>0</v>
      </c>
      <c r="K608" s="136">
        <f>BARDEZ!J185</f>
        <v>2155.7878635438196</v>
      </c>
      <c r="L608" s="136">
        <f>BARDEZ!K185</f>
        <v>65.82578600137505</v>
      </c>
      <c r="M608" s="136">
        <f>BARDEZ!L185</f>
        <v>100.53392771119097</v>
      </c>
      <c r="N608" s="136">
        <f>BARDEZ!M185</f>
        <v>148.40722662128192</v>
      </c>
      <c r="O608" s="136">
        <f>BARDEZ!N185</f>
        <v>39.2375</v>
      </c>
      <c r="P608" s="136">
        <f>BARDEZ!O185</f>
        <v>240</v>
      </c>
      <c r="Q608" s="136">
        <f>BARDEZ!P185</f>
        <v>495</v>
      </c>
      <c r="R608" s="136">
        <f>BARDEZ!R185</f>
        <v>3244.792303877668</v>
      </c>
      <c r="T608" s="66">
        <v>0</v>
      </c>
      <c r="U608" s="66">
        <v>0</v>
      </c>
      <c r="V608" s="66">
        <v>0</v>
      </c>
      <c r="W608" s="66">
        <v>500</v>
      </c>
      <c r="X608" s="66">
        <v>500</v>
      </c>
      <c r="Y608" s="66">
        <v>1000</v>
      </c>
    </row>
    <row r="609" spans="1:25" ht="18.75">
      <c r="A609" s="138"/>
      <c r="B609" s="138">
        <v>4</v>
      </c>
      <c r="C609" s="138" t="s">
        <v>273</v>
      </c>
      <c r="D609" s="137" t="s">
        <v>507</v>
      </c>
      <c r="E609" s="136">
        <f>BARDEZ!D186</f>
        <v>0</v>
      </c>
      <c r="F609" s="136">
        <f>BARDEZ!E186</f>
        <v>0</v>
      </c>
      <c r="G609" s="136">
        <f>BARDEZ!F186</f>
        <v>0</v>
      </c>
      <c r="H609" s="136">
        <f>BARDEZ!G186</f>
        <v>0</v>
      </c>
      <c r="I609" s="136">
        <f>BARDEZ!H186</f>
        <v>0</v>
      </c>
      <c r="J609" s="136">
        <f>BARDEZ!I186</f>
        <v>0</v>
      </c>
      <c r="K609" s="136">
        <f>BARDEZ!J186</f>
        <v>2155.7878635438196</v>
      </c>
      <c r="L609" s="136">
        <f>BARDEZ!K186</f>
        <v>65.82578600137505</v>
      </c>
      <c r="M609" s="136">
        <f>BARDEZ!L186</f>
        <v>100.53392771119097</v>
      </c>
      <c r="N609" s="136">
        <f>BARDEZ!M186</f>
        <v>148.40722662128192</v>
      </c>
      <c r="O609" s="136">
        <f>BARDEZ!N186</f>
        <v>39.2375</v>
      </c>
      <c r="P609" s="136">
        <f>BARDEZ!O186</f>
        <v>240</v>
      </c>
      <c r="Q609" s="136">
        <f>BARDEZ!P186</f>
        <v>495</v>
      </c>
      <c r="R609" s="136">
        <f>BARDEZ!R186</f>
        <v>3244.792303877668</v>
      </c>
      <c r="T609" s="66">
        <v>0</v>
      </c>
      <c r="U609" s="66">
        <v>0</v>
      </c>
      <c r="V609" s="66">
        <v>0</v>
      </c>
      <c r="W609" s="66">
        <v>500</v>
      </c>
      <c r="X609" s="66">
        <v>500</v>
      </c>
      <c r="Y609" s="66">
        <v>1000</v>
      </c>
    </row>
    <row r="610" spans="1:25" ht="18.75">
      <c r="A610" s="138">
        <v>3</v>
      </c>
      <c r="B610" s="138"/>
      <c r="C610" s="138" t="s">
        <v>78</v>
      </c>
      <c r="D610" s="137"/>
      <c r="E610" s="136">
        <f>BARDEZ!D187</f>
        <v>0</v>
      </c>
      <c r="F610" s="136">
        <f>BARDEZ!E187</f>
        <v>0</v>
      </c>
      <c r="G610" s="136">
        <f>BARDEZ!F187</f>
        <v>0</v>
      </c>
      <c r="H610" s="136">
        <f>BARDEZ!G187</f>
        <v>0</v>
      </c>
      <c r="I610" s="136">
        <f>BARDEZ!H187</f>
        <v>0</v>
      </c>
      <c r="J610" s="136">
        <f>BARDEZ!I187</f>
        <v>0</v>
      </c>
      <c r="K610" s="136">
        <f>BARDEZ!J187</f>
        <v>18135.62082208788</v>
      </c>
      <c r="L610" s="136">
        <f>BARDEZ!K187</f>
        <v>2231.279037101643</v>
      </c>
      <c r="M610" s="136">
        <f>BARDEZ!L187</f>
        <v>3407.771620300691</v>
      </c>
      <c r="N610" s="136">
        <f>BARDEZ!M187</f>
        <v>5030.520010920069</v>
      </c>
      <c r="O610" s="136">
        <f>BARDEZ!N187</f>
        <v>117.71249999999999</v>
      </c>
      <c r="P610" s="136">
        <f>BARDEZ!O187</f>
        <v>720</v>
      </c>
      <c r="Q610" s="136">
        <f>BARDEZ!P187</f>
        <v>1485</v>
      </c>
      <c r="R610" s="136">
        <f>BARDEZ!R187</f>
        <v>31127.903990410283</v>
      </c>
      <c r="T610" s="66">
        <v>0</v>
      </c>
      <c r="U610" s="66">
        <v>0</v>
      </c>
      <c r="V610" s="66">
        <v>0</v>
      </c>
      <c r="W610" s="66">
        <v>4206.26285377528</v>
      </c>
      <c r="X610" s="66">
        <v>16948.3660784167</v>
      </c>
      <c r="Y610" s="66">
        <v>21153.628932192</v>
      </c>
    </row>
    <row r="611" spans="1:25" ht="18.75">
      <c r="A611" s="138"/>
      <c r="B611" s="138"/>
      <c r="C611" s="138"/>
      <c r="D611" s="137"/>
      <c r="E611" s="136"/>
      <c r="F611" s="136"/>
      <c r="G611" s="136"/>
      <c r="H611" s="136"/>
      <c r="I611" s="136"/>
      <c r="J611" s="136"/>
      <c r="K611" s="136"/>
      <c r="L611" s="136"/>
      <c r="M611" s="136"/>
      <c r="N611" s="136"/>
      <c r="O611" s="136"/>
      <c r="P611" s="136"/>
      <c r="Q611" s="136"/>
      <c r="R611" s="136"/>
      <c r="T611" s="66"/>
      <c r="U611" s="66"/>
      <c r="V611" s="66"/>
      <c r="W611" s="66"/>
      <c r="X611" s="66"/>
      <c r="Y611" s="66"/>
    </row>
    <row r="612" spans="1:25" ht="18.75">
      <c r="A612" s="138">
        <v>1</v>
      </c>
      <c r="B612" s="138">
        <v>5</v>
      </c>
      <c r="C612" s="138" t="s">
        <v>394</v>
      </c>
      <c r="D612" s="137" t="s">
        <v>508</v>
      </c>
      <c r="E612" s="136">
        <f>BICHOLIM!D90</f>
        <v>0</v>
      </c>
      <c r="F612" s="136">
        <f>BICHOLIM!E90</f>
        <v>0</v>
      </c>
      <c r="G612" s="136">
        <f>BICHOLIM!F90</f>
        <v>0</v>
      </c>
      <c r="H612" s="136">
        <f>BICHOLIM!G90</f>
        <v>0</v>
      </c>
      <c r="I612" s="136">
        <f>BICHOLIM!H90</f>
        <v>0</v>
      </c>
      <c r="J612" s="136">
        <f>BICHOLIM!I90</f>
        <v>0</v>
      </c>
      <c r="K612" s="136">
        <f>BICHOLIM!J90</f>
        <v>0</v>
      </c>
      <c r="L612" s="136">
        <f>BICHOLIM!K90</f>
        <v>47.39456592099003</v>
      </c>
      <c r="M612" s="136">
        <f>BICHOLIM!L90</f>
        <v>72.38442795205751</v>
      </c>
      <c r="N612" s="136">
        <f>BICHOLIM!M90</f>
        <v>126.85320316732297</v>
      </c>
      <c r="O612" s="136">
        <f>BICHOLIM!N90</f>
        <v>100</v>
      </c>
      <c r="P612" s="136">
        <f>BICHOLIM!O90</f>
        <v>999</v>
      </c>
      <c r="Q612" s="136">
        <f>BICHOLIM!P90</f>
        <v>1833</v>
      </c>
      <c r="R612" s="136">
        <f>BICHOLIM!R90</f>
        <v>3178.63219704037</v>
      </c>
      <c r="T612" s="66">
        <v>0</v>
      </c>
      <c r="U612" s="66">
        <v>0</v>
      </c>
      <c r="V612" s="66">
        <v>0</v>
      </c>
      <c r="W612" s="66">
        <v>0</v>
      </c>
      <c r="X612" s="66">
        <v>360</v>
      </c>
      <c r="Y612" s="66">
        <v>360</v>
      </c>
    </row>
    <row r="613" spans="1:25" ht="18.75">
      <c r="A613" s="138"/>
      <c r="B613" s="138"/>
      <c r="C613" s="138"/>
      <c r="D613" s="141"/>
      <c r="E613" s="138"/>
      <c r="F613" s="138"/>
      <c r="G613" s="138"/>
      <c r="H613" s="138"/>
      <c r="I613" s="138"/>
      <c r="J613" s="138"/>
      <c r="K613" s="138"/>
      <c r="L613" s="138"/>
      <c r="M613" s="138"/>
      <c r="N613" s="138"/>
      <c r="O613" s="138"/>
      <c r="P613" s="138"/>
      <c r="Q613" s="138"/>
      <c r="R613" s="138"/>
      <c r="T613" s="67"/>
      <c r="U613" s="67"/>
      <c r="V613" s="67"/>
      <c r="W613" s="67"/>
      <c r="X613" s="67"/>
      <c r="Y613" s="67"/>
    </row>
    <row r="614" spans="1:25" ht="18.75">
      <c r="A614" s="138"/>
      <c r="B614" s="138"/>
      <c r="C614" s="138"/>
      <c r="D614" s="141"/>
      <c r="E614" s="138"/>
      <c r="F614" s="138"/>
      <c r="G614" s="138"/>
      <c r="H614" s="138"/>
      <c r="I614" s="138"/>
      <c r="J614" s="138"/>
      <c r="K614" s="138"/>
      <c r="L614" s="138"/>
      <c r="M614" s="138"/>
      <c r="N614" s="138"/>
      <c r="O614" s="138"/>
      <c r="P614" s="138"/>
      <c r="Q614" s="138"/>
      <c r="R614" s="138"/>
      <c r="T614" s="67"/>
      <c r="U614" s="67"/>
      <c r="V614" s="67"/>
      <c r="W614" s="67"/>
      <c r="X614" s="67"/>
      <c r="Y614" s="67"/>
    </row>
    <row r="615" spans="1:25" ht="18.75">
      <c r="A615" s="145">
        <v>6</v>
      </c>
      <c r="B615" s="143"/>
      <c r="C615" s="143" t="s">
        <v>17</v>
      </c>
      <c r="D615" s="144"/>
      <c r="E615" s="145">
        <f aca="true" t="shared" si="35" ref="E615:R615">E604+E610+E612</f>
        <v>0</v>
      </c>
      <c r="F615" s="145">
        <f t="shared" si="35"/>
        <v>0</v>
      </c>
      <c r="G615" s="145">
        <f t="shared" si="35"/>
        <v>0</v>
      </c>
      <c r="H615" s="145">
        <f t="shared" si="35"/>
        <v>0</v>
      </c>
      <c r="I615" s="145">
        <f t="shared" si="35"/>
        <v>0</v>
      </c>
      <c r="J615" s="145">
        <f t="shared" si="35"/>
        <v>0</v>
      </c>
      <c r="K615" s="145">
        <f t="shared" si="35"/>
        <v>30221.312021935963</v>
      </c>
      <c r="L615" s="145">
        <f t="shared" si="35"/>
        <v>6823.37292384237</v>
      </c>
      <c r="M615" s="145">
        <f t="shared" si="35"/>
        <v>10422.678647322891</v>
      </c>
      <c r="N615" s="145">
        <f t="shared" si="35"/>
        <v>15405.858955571888</v>
      </c>
      <c r="O615" s="145">
        <f t="shared" si="35"/>
        <v>261.7125</v>
      </c>
      <c r="P615" s="145">
        <f t="shared" si="35"/>
        <v>1994</v>
      </c>
      <c r="Q615" s="145">
        <f t="shared" si="35"/>
        <v>3868</v>
      </c>
      <c r="R615" s="145">
        <f t="shared" si="35"/>
        <v>68996.9350486731</v>
      </c>
      <c r="T615" s="71">
        <v>40682.6101701414</v>
      </c>
      <c r="U615" s="71">
        <v>13564.8765753226</v>
      </c>
      <c r="V615" s="71">
        <v>54248.486745464</v>
      </c>
      <c r="W615" s="71">
        <v>8312.85653642483</v>
      </c>
      <c r="X615" s="71">
        <v>73792.7642748239</v>
      </c>
      <c r="Y615" s="71">
        <v>136354.107556713</v>
      </c>
    </row>
    <row r="616" spans="1:25" ht="18.75">
      <c r="A616" s="138"/>
      <c r="B616" s="138"/>
      <c r="C616" s="138"/>
      <c r="D616" s="141"/>
      <c r="E616" s="138"/>
      <c r="F616" s="138"/>
      <c r="G616" s="138"/>
      <c r="H616" s="138"/>
      <c r="I616" s="138"/>
      <c r="J616" s="138"/>
      <c r="K616" s="138"/>
      <c r="L616" s="138"/>
      <c r="M616" s="138"/>
      <c r="N616" s="138"/>
      <c r="O616" s="138"/>
      <c r="P616" s="138"/>
      <c r="Q616" s="138"/>
      <c r="R616" s="138"/>
      <c r="T616" s="67"/>
      <c r="U616" s="67"/>
      <c r="V616" s="67"/>
      <c r="W616" s="67"/>
      <c r="X616" s="67"/>
      <c r="Y616" s="67"/>
    </row>
    <row r="617" spans="1:25" ht="18.75">
      <c r="A617" s="138"/>
      <c r="B617" s="138"/>
      <c r="C617" s="143" t="s">
        <v>484</v>
      </c>
      <c r="D617" s="141"/>
      <c r="E617" s="138"/>
      <c r="F617" s="138"/>
      <c r="G617" s="138"/>
      <c r="H617" s="138"/>
      <c r="I617" s="138"/>
      <c r="J617" s="138"/>
      <c r="K617" s="138"/>
      <c r="L617" s="138"/>
      <c r="M617" s="138"/>
      <c r="N617" s="138"/>
      <c r="O617" s="138"/>
      <c r="P617" s="138"/>
      <c r="Q617" s="138"/>
      <c r="R617" s="138"/>
      <c r="T617" s="67"/>
      <c r="U617" s="67"/>
      <c r="V617" s="67"/>
      <c r="W617" s="67"/>
      <c r="X617" s="67"/>
      <c r="Y617" s="67"/>
    </row>
    <row r="618" spans="1:25" ht="18.75">
      <c r="A618" s="138"/>
      <c r="B618" s="138"/>
      <c r="C618" s="138" t="s">
        <v>41</v>
      </c>
      <c r="D618" s="141"/>
      <c r="E618" s="138"/>
      <c r="F618" s="138"/>
      <c r="G618" s="138"/>
      <c r="H618" s="138"/>
      <c r="I618" s="138"/>
      <c r="J618" s="138"/>
      <c r="K618" s="138"/>
      <c r="L618" s="138"/>
      <c r="M618" s="138"/>
      <c r="N618" s="138"/>
      <c r="O618" s="138"/>
      <c r="P618" s="138"/>
      <c r="Q618" s="138"/>
      <c r="R618" s="138"/>
      <c r="T618" s="67"/>
      <c r="U618" s="67"/>
      <c r="V618" s="67"/>
      <c r="W618" s="67"/>
      <c r="X618" s="67"/>
      <c r="Y618" s="67"/>
    </row>
    <row r="619" spans="1:25" ht="18.75">
      <c r="A619" s="138">
        <v>1</v>
      </c>
      <c r="B619" s="138">
        <v>1</v>
      </c>
      <c r="C619" s="138" t="s">
        <v>71</v>
      </c>
      <c r="D619" s="137" t="s">
        <v>507</v>
      </c>
      <c r="E619" s="136">
        <f>'TISWADI '!D134</f>
        <v>0</v>
      </c>
      <c r="F619" s="136">
        <f>'TISWADI '!E134</f>
        <v>0</v>
      </c>
      <c r="G619" s="136">
        <f>'TISWADI '!F134</f>
        <v>0</v>
      </c>
      <c r="H619" s="136">
        <f>'TISWADI '!G134</f>
        <v>0</v>
      </c>
      <c r="I619" s="136">
        <f>'TISWADI '!H134</f>
        <v>0</v>
      </c>
      <c r="J619" s="136">
        <f>'TISWADI '!I134</f>
        <v>0</v>
      </c>
      <c r="K619" s="136">
        <f>'TISWADI '!J134</f>
        <v>4248.91687831773</v>
      </c>
      <c r="L619" s="136">
        <f>'TISWADI '!K134</f>
        <v>3087.0538220420217</v>
      </c>
      <c r="M619" s="136">
        <f>'TISWADI '!L134</f>
        <v>4714.773110027815</v>
      </c>
      <c r="N619" s="136">
        <f>'TISWADI '!M134</f>
        <v>6959.903162422013</v>
      </c>
      <c r="O619" s="136">
        <f>'TISWADI '!N134</f>
        <v>44.84</v>
      </c>
      <c r="P619" s="136">
        <f>'TISWADI '!O134</f>
        <v>277.14</v>
      </c>
      <c r="Q619" s="136">
        <f>'TISWADI '!P134</f>
        <v>572.6785714285714</v>
      </c>
      <c r="R619" s="136">
        <f>'TISWADI '!S134</f>
        <v>19905.305544238156</v>
      </c>
      <c r="T619" s="66">
        <v>0</v>
      </c>
      <c r="U619" s="66">
        <v>0</v>
      </c>
      <c r="V619" s="66">
        <v>0</v>
      </c>
      <c r="W619" s="66">
        <v>985.467297170208</v>
      </c>
      <c r="X619" s="66">
        <v>23448.666621144</v>
      </c>
      <c r="Y619" s="66">
        <v>24434.1339183142</v>
      </c>
    </row>
    <row r="620" spans="1:25" ht="18.75">
      <c r="A620" s="138"/>
      <c r="B620" s="138"/>
      <c r="C620" s="138"/>
      <c r="D620" s="141"/>
      <c r="E620" s="138"/>
      <c r="F620" s="138"/>
      <c r="G620" s="138"/>
      <c r="H620" s="138"/>
      <c r="I620" s="138"/>
      <c r="J620" s="138"/>
      <c r="K620" s="138"/>
      <c r="L620" s="138"/>
      <c r="M620" s="138"/>
      <c r="N620" s="138"/>
      <c r="O620" s="138"/>
      <c r="P620" s="138"/>
      <c r="Q620" s="138"/>
      <c r="R620" s="138"/>
      <c r="T620" s="67"/>
      <c r="U620" s="67"/>
      <c r="V620" s="67"/>
      <c r="W620" s="67"/>
      <c r="X620" s="67"/>
      <c r="Y620" s="67"/>
    </row>
    <row r="621" spans="1:25" ht="18.75">
      <c r="A621" s="138"/>
      <c r="B621" s="138"/>
      <c r="C621" s="138" t="s">
        <v>42</v>
      </c>
      <c r="D621" s="141"/>
      <c r="E621" s="138"/>
      <c r="F621" s="138"/>
      <c r="G621" s="138"/>
      <c r="H621" s="138"/>
      <c r="I621" s="138"/>
      <c r="J621" s="138"/>
      <c r="K621" s="138"/>
      <c r="L621" s="138"/>
      <c r="M621" s="138"/>
      <c r="N621" s="138"/>
      <c r="O621" s="138"/>
      <c r="P621" s="138"/>
      <c r="Q621" s="138"/>
      <c r="R621" s="138"/>
      <c r="T621" s="67"/>
      <c r="U621" s="67"/>
      <c r="V621" s="67"/>
      <c r="W621" s="67"/>
      <c r="X621" s="67"/>
      <c r="Y621" s="67"/>
    </row>
    <row r="622" spans="1:25" ht="18.75">
      <c r="A622" s="138">
        <v>1</v>
      </c>
      <c r="B622" s="138">
        <v>2</v>
      </c>
      <c r="C622" s="138" t="s">
        <v>354</v>
      </c>
      <c r="D622" s="137" t="s">
        <v>507</v>
      </c>
      <c r="E622" s="136">
        <f>BARDEZ!D262</f>
        <v>11</v>
      </c>
      <c r="F622" s="136">
        <f>BARDEZ!E262</f>
        <v>0</v>
      </c>
      <c r="G622" s="136">
        <f>BARDEZ!F262</f>
        <v>11</v>
      </c>
      <c r="H622" s="136">
        <f>BARDEZ!G262</f>
        <v>0</v>
      </c>
      <c r="I622" s="136">
        <f>BARDEZ!H262</f>
        <v>0</v>
      </c>
      <c r="J622" s="136">
        <f>BARDEZ!I262</f>
        <v>11</v>
      </c>
      <c r="K622" s="136">
        <f>BARDEZ!J262</f>
        <v>245.75981644399545</v>
      </c>
      <c r="L622" s="136">
        <f>BARDEZ!K262</f>
        <v>399.62975811919983</v>
      </c>
      <c r="M622" s="136">
        <f>BARDEZ!L262</f>
        <v>610.3436305820507</v>
      </c>
      <c r="N622" s="136">
        <f>BARDEZ!M262</f>
        <v>900.9834546687415</v>
      </c>
      <c r="O622" s="136">
        <f>BARDEZ!N262</f>
        <v>39.2375</v>
      </c>
      <c r="P622" s="136">
        <f>BARDEZ!O262</f>
        <v>240</v>
      </c>
      <c r="Q622" s="136">
        <f>BARDEZ!P262</f>
        <v>495</v>
      </c>
      <c r="R622" s="136">
        <f>BARDEZ!R262</f>
        <v>2941.9541598139876</v>
      </c>
      <c r="T622" s="66">
        <v>12</v>
      </c>
      <c r="U622" s="66">
        <v>0</v>
      </c>
      <c r="V622" s="66">
        <v>12</v>
      </c>
      <c r="W622" s="66">
        <v>57</v>
      </c>
      <c r="X622" s="66">
        <v>3035.51072</v>
      </c>
      <c r="Y622" s="66">
        <v>3104.51072</v>
      </c>
    </row>
    <row r="623" spans="1:25" ht="18.75">
      <c r="A623" s="138"/>
      <c r="B623" s="138"/>
      <c r="C623" s="138"/>
      <c r="D623" s="141"/>
      <c r="E623" s="138"/>
      <c r="F623" s="138"/>
      <c r="G623" s="138"/>
      <c r="H623" s="138"/>
      <c r="I623" s="138"/>
      <c r="J623" s="138"/>
      <c r="K623" s="138"/>
      <c r="L623" s="138"/>
      <c r="M623" s="138"/>
      <c r="N623" s="138"/>
      <c r="O623" s="138"/>
      <c r="P623" s="138"/>
      <c r="Q623" s="138"/>
      <c r="R623" s="138"/>
      <c r="T623" s="67"/>
      <c r="U623" s="67"/>
      <c r="V623" s="67"/>
      <c r="W623" s="67"/>
      <c r="X623" s="67"/>
      <c r="Y623" s="67"/>
    </row>
    <row r="624" spans="1:25" ht="18.75">
      <c r="A624" s="138"/>
      <c r="B624" s="138"/>
      <c r="C624" s="138"/>
      <c r="D624" s="141"/>
      <c r="E624" s="138"/>
      <c r="F624" s="138"/>
      <c r="G624" s="138"/>
      <c r="H624" s="138"/>
      <c r="I624" s="138"/>
      <c r="J624" s="138"/>
      <c r="K624" s="138"/>
      <c r="L624" s="138"/>
      <c r="M624" s="138"/>
      <c r="N624" s="138"/>
      <c r="O624" s="138"/>
      <c r="P624" s="138"/>
      <c r="Q624" s="138"/>
      <c r="R624" s="138"/>
      <c r="T624" s="67"/>
      <c r="U624" s="67"/>
      <c r="V624" s="67"/>
      <c r="W624" s="67"/>
      <c r="X624" s="67"/>
      <c r="Y624" s="67"/>
    </row>
    <row r="625" spans="1:25" ht="18.75">
      <c r="A625" s="145">
        <v>3</v>
      </c>
      <c r="B625" s="143"/>
      <c r="C625" s="143" t="s">
        <v>17</v>
      </c>
      <c r="D625" s="144"/>
      <c r="E625" s="145">
        <f aca="true" t="shared" si="36" ref="E625:R625">E619+E622</f>
        <v>11</v>
      </c>
      <c r="F625" s="145">
        <f t="shared" si="36"/>
        <v>0</v>
      </c>
      <c r="G625" s="145">
        <f t="shared" si="36"/>
        <v>11</v>
      </c>
      <c r="H625" s="145">
        <f t="shared" si="36"/>
        <v>0</v>
      </c>
      <c r="I625" s="145">
        <f t="shared" si="36"/>
        <v>0</v>
      </c>
      <c r="J625" s="145">
        <f t="shared" si="36"/>
        <v>11</v>
      </c>
      <c r="K625" s="145">
        <f t="shared" si="36"/>
        <v>4494.676694761725</v>
      </c>
      <c r="L625" s="145">
        <f t="shared" si="36"/>
        <v>3486.6835801612215</v>
      </c>
      <c r="M625" s="145">
        <f t="shared" si="36"/>
        <v>5325.116740609866</v>
      </c>
      <c r="N625" s="145">
        <f t="shared" si="36"/>
        <v>7860.886617090755</v>
      </c>
      <c r="O625" s="145">
        <f t="shared" si="36"/>
        <v>84.0775</v>
      </c>
      <c r="P625" s="145">
        <f t="shared" si="36"/>
        <v>517.14</v>
      </c>
      <c r="Q625" s="145">
        <f t="shared" si="36"/>
        <v>1067.6785714285716</v>
      </c>
      <c r="R625" s="145">
        <f t="shared" si="36"/>
        <v>22847.259704052143</v>
      </c>
      <c r="T625" s="71">
        <v>12</v>
      </c>
      <c r="U625" s="71">
        <v>0</v>
      </c>
      <c r="V625" s="71">
        <v>12</v>
      </c>
      <c r="W625" s="71">
        <v>1162.74158517021</v>
      </c>
      <c r="X625" s="71">
        <v>29354.688061144</v>
      </c>
      <c r="Y625" s="71">
        <v>30530.4296463142</v>
      </c>
    </row>
    <row r="626" spans="1:25" ht="18.75">
      <c r="A626" s="138"/>
      <c r="B626" s="138"/>
      <c r="C626" s="138"/>
      <c r="D626" s="141"/>
      <c r="E626" s="138"/>
      <c r="F626" s="138"/>
      <c r="G626" s="138"/>
      <c r="H626" s="138"/>
      <c r="I626" s="138"/>
      <c r="J626" s="138"/>
      <c r="K626" s="138"/>
      <c r="L626" s="138"/>
      <c r="M626" s="138"/>
      <c r="N626" s="138"/>
      <c r="O626" s="138"/>
      <c r="P626" s="138"/>
      <c r="Q626" s="138"/>
      <c r="R626" s="138"/>
      <c r="T626" s="67"/>
      <c r="U626" s="67"/>
      <c r="V626" s="67"/>
      <c r="W626" s="67"/>
      <c r="X626" s="67"/>
      <c r="Y626" s="67"/>
    </row>
    <row r="627" spans="1:25" ht="18.75">
      <c r="A627" s="138"/>
      <c r="B627" s="138"/>
      <c r="C627" s="143" t="s">
        <v>485</v>
      </c>
      <c r="D627" s="141"/>
      <c r="E627" s="138"/>
      <c r="F627" s="138"/>
      <c r="G627" s="138"/>
      <c r="H627" s="138"/>
      <c r="I627" s="138"/>
      <c r="J627" s="138"/>
      <c r="K627" s="138"/>
      <c r="L627" s="138"/>
      <c r="M627" s="138"/>
      <c r="N627" s="138"/>
      <c r="O627" s="138"/>
      <c r="P627" s="138"/>
      <c r="Q627" s="138"/>
      <c r="R627" s="138"/>
      <c r="T627" s="67"/>
      <c r="U627" s="67"/>
      <c r="V627" s="67"/>
      <c r="W627" s="67"/>
      <c r="X627" s="67"/>
      <c r="Y627" s="67"/>
    </row>
    <row r="628" spans="1:25" ht="18.75">
      <c r="A628" s="138"/>
      <c r="B628" s="138"/>
      <c r="C628" s="138" t="s">
        <v>41</v>
      </c>
      <c r="D628" s="141"/>
      <c r="E628" s="138"/>
      <c r="F628" s="138"/>
      <c r="G628" s="138"/>
      <c r="H628" s="138"/>
      <c r="I628" s="138"/>
      <c r="J628" s="138"/>
      <c r="K628" s="138"/>
      <c r="L628" s="138"/>
      <c r="M628" s="138"/>
      <c r="N628" s="138"/>
      <c r="O628" s="138"/>
      <c r="P628" s="138"/>
      <c r="Q628" s="138"/>
      <c r="R628" s="138"/>
      <c r="T628" s="67"/>
      <c r="U628" s="67"/>
      <c r="V628" s="67"/>
      <c r="W628" s="67"/>
      <c r="X628" s="67"/>
      <c r="Y628" s="67"/>
    </row>
    <row r="629" spans="1:25" ht="18.75">
      <c r="A629" s="138"/>
      <c r="B629" s="138">
        <v>1</v>
      </c>
      <c r="C629" s="138" t="s">
        <v>186</v>
      </c>
      <c r="D629" s="137" t="s">
        <v>507</v>
      </c>
      <c r="E629" s="136">
        <f>'TISWADI '!D242</f>
        <v>0</v>
      </c>
      <c r="F629" s="136">
        <f>'TISWADI '!E242</f>
        <v>0</v>
      </c>
      <c r="G629" s="136">
        <f>'TISWADI '!F242</f>
        <v>0</v>
      </c>
      <c r="H629" s="136">
        <f>'TISWADI '!G242</f>
        <v>0</v>
      </c>
      <c r="I629" s="136">
        <f>'TISWADI '!H242</f>
        <v>0</v>
      </c>
      <c r="J629" s="136">
        <f>'TISWADI '!I242</f>
        <v>0</v>
      </c>
      <c r="K629" s="136">
        <f>'TISWADI '!J242</f>
        <v>1045.7665529212716</v>
      </c>
      <c r="L629" s="136">
        <f>'TISWADI '!K242</f>
        <v>394.95471600825033</v>
      </c>
      <c r="M629" s="136">
        <f>'TISWADI '!L242</f>
        <v>603.2035662671459</v>
      </c>
      <c r="N629" s="136">
        <f>'TISWADI '!M242</f>
        <v>890.4433597276916</v>
      </c>
      <c r="O629" s="136">
        <f>'TISWADI '!N242</f>
        <v>44.84</v>
      </c>
      <c r="P629" s="136">
        <f>'TISWADI '!O242</f>
        <v>277.14</v>
      </c>
      <c r="Q629" s="136">
        <f>'TISWADI '!P242</f>
        <v>550</v>
      </c>
      <c r="R629" s="136">
        <f>'TISWADI '!S242</f>
        <v>3806.3481949243596</v>
      </c>
      <c r="T629" s="66">
        <v>0</v>
      </c>
      <c r="U629" s="66">
        <v>0</v>
      </c>
      <c r="V629" s="66">
        <v>0</v>
      </c>
      <c r="W629" s="66">
        <v>242.548576</v>
      </c>
      <c r="X629" s="66">
        <v>3000</v>
      </c>
      <c r="Y629" s="66">
        <v>3242.548576</v>
      </c>
    </row>
    <row r="630" spans="1:25" ht="18.75">
      <c r="A630" s="138"/>
      <c r="B630" s="138">
        <v>2</v>
      </c>
      <c r="C630" s="138" t="s">
        <v>112</v>
      </c>
      <c r="D630" s="137" t="s">
        <v>508</v>
      </c>
      <c r="E630" s="136">
        <f>'TISWADI '!D243</f>
        <v>0</v>
      </c>
      <c r="F630" s="136">
        <f>'TISWADI '!E243</f>
        <v>0</v>
      </c>
      <c r="G630" s="136">
        <f>'TISWADI '!F243</f>
        <v>0</v>
      </c>
      <c r="H630" s="136">
        <f>'TISWADI '!G243</f>
        <v>0</v>
      </c>
      <c r="I630" s="136">
        <f>'TISWADI '!H243</f>
        <v>0</v>
      </c>
      <c r="J630" s="136">
        <f>'TISWADI '!I243</f>
        <v>0</v>
      </c>
      <c r="K630" s="136">
        <f>'TISWADI '!J243</f>
        <v>0</v>
      </c>
      <c r="L630" s="136">
        <f>'TISWADI '!K243</f>
        <v>104.53134817018359</v>
      </c>
      <c r="M630" s="136">
        <f>'TISWADI '!L243</f>
        <v>159.6478772053713</v>
      </c>
      <c r="N630" s="136">
        <f>'TISWADI '!M243</f>
        <v>235.67067587459573</v>
      </c>
      <c r="O630" s="136">
        <f>'TISWADI '!N243</f>
        <v>44.84</v>
      </c>
      <c r="P630" s="136">
        <f>'TISWADI '!O243</f>
        <v>277.14</v>
      </c>
      <c r="Q630" s="136">
        <f>'TISWADI '!P243</f>
        <v>550</v>
      </c>
      <c r="R630" s="136">
        <f>'TISWADI '!S243</f>
        <v>1371.8299012501507</v>
      </c>
      <c r="T630" s="66">
        <v>0</v>
      </c>
      <c r="U630" s="66">
        <v>0</v>
      </c>
      <c r="V630" s="66">
        <v>0</v>
      </c>
      <c r="W630" s="66">
        <v>0</v>
      </c>
      <c r="X630" s="66">
        <v>794</v>
      </c>
      <c r="Y630" s="66">
        <v>794</v>
      </c>
    </row>
    <row r="631" spans="1:25" ht="18.75">
      <c r="A631" s="138">
        <v>2</v>
      </c>
      <c r="B631" s="138"/>
      <c r="C631" s="138" t="s">
        <v>17</v>
      </c>
      <c r="D631" s="137"/>
      <c r="E631" s="136">
        <f>'TISWADI '!D244</f>
        <v>0</v>
      </c>
      <c r="F631" s="136">
        <f>'TISWADI '!E244</f>
        <v>0</v>
      </c>
      <c r="G631" s="136">
        <f>'TISWADI '!F244</f>
        <v>0</v>
      </c>
      <c r="H631" s="136">
        <f>'TISWADI '!G244</f>
        <v>0</v>
      </c>
      <c r="I631" s="136">
        <f>'TISWADI '!H244</f>
        <v>0</v>
      </c>
      <c r="J631" s="136">
        <f>'TISWADI '!I244</f>
        <v>0</v>
      </c>
      <c r="K631" s="136">
        <f>'TISWADI '!J244</f>
        <v>1045.7665529212716</v>
      </c>
      <c r="L631" s="136">
        <f>'TISWADI '!K244</f>
        <v>499.48606417843394</v>
      </c>
      <c r="M631" s="136">
        <f>'TISWADI '!L244</f>
        <v>762.8514434725172</v>
      </c>
      <c r="N631" s="136">
        <f>'TISWADI '!M244</f>
        <v>1126.1140356022872</v>
      </c>
      <c r="O631" s="136">
        <f>'TISWADI '!N244</f>
        <v>89.68</v>
      </c>
      <c r="P631" s="136">
        <f>'TISWADI '!O244</f>
        <v>554.28</v>
      </c>
      <c r="Q631" s="136">
        <f>'TISWADI '!P244</f>
        <v>1100</v>
      </c>
      <c r="R631" s="136">
        <f>'TISWADI '!S244</f>
        <v>5178.17809617451</v>
      </c>
      <c r="T631" s="66">
        <v>0</v>
      </c>
      <c r="U631" s="66">
        <v>0</v>
      </c>
      <c r="V631" s="66">
        <v>0</v>
      </c>
      <c r="W631" s="66">
        <v>242.548576</v>
      </c>
      <c r="X631" s="66">
        <v>3794</v>
      </c>
      <c r="Y631" s="66">
        <v>4036.548576</v>
      </c>
    </row>
    <row r="632" spans="1:25" ht="18.75">
      <c r="A632" s="138"/>
      <c r="B632" s="138"/>
      <c r="C632" s="138"/>
      <c r="D632" s="141"/>
      <c r="E632" s="138"/>
      <c r="F632" s="138"/>
      <c r="G632" s="138"/>
      <c r="H632" s="138"/>
      <c r="I632" s="138"/>
      <c r="J632" s="138"/>
      <c r="K632" s="138"/>
      <c r="L632" s="138"/>
      <c r="M632" s="138"/>
      <c r="N632" s="138"/>
      <c r="O632" s="138"/>
      <c r="P632" s="138"/>
      <c r="Q632" s="138"/>
      <c r="R632" s="138"/>
      <c r="T632" s="67"/>
      <c r="U632" s="67"/>
      <c r="V632" s="67"/>
      <c r="W632" s="67"/>
      <c r="X632" s="67"/>
      <c r="Y632" s="67"/>
    </row>
    <row r="633" spans="1:25" ht="18.75">
      <c r="A633" s="138"/>
      <c r="B633" s="138"/>
      <c r="C633" s="138" t="s">
        <v>42</v>
      </c>
      <c r="D633" s="141"/>
      <c r="E633" s="138"/>
      <c r="F633" s="138"/>
      <c r="G633" s="138"/>
      <c r="H633" s="138"/>
      <c r="I633" s="138"/>
      <c r="J633" s="138"/>
      <c r="K633" s="138"/>
      <c r="L633" s="138"/>
      <c r="M633" s="138"/>
      <c r="N633" s="138"/>
      <c r="O633" s="138"/>
      <c r="P633" s="138"/>
      <c r="Q633" s="138"/>
      <c r="R633" s="138"/>
      <c r="T633" s="67"/>
      <c r="U633" s="67"/>
      <c r="V633" s="67"/>
      <c r="W633" s="67"/>
      <c r="X633" s="67"/>
      <c r="Y633" s="67"/>
    </row>
    <row r="634" spans="1:25" ht="18.75">
      <c r="A634" s="138"/>
      <c r="B634" s="138">
        <v>3</v>
      </c>
      <c r="C634" s="138" t="s">
        <v>346</v>
      </c>
      <c r="D634" s="137" t="s">
        <v>507</v>
      </c>
      <c r="E634" s="136">
        <f>BARDEZ!D243</f>
        <v>0</v>
      </c>
      <c r="F634" s="136">
        <f>BARDEZ!E243</f>
        <v>0</v>
      </c>
      <c r="G634" s="136">
        <f>BARDEZ!F243</f>
        <v>0</v>
      </c>
      <c r="H634" s="136">
        <f>BARDEZ!G243</f>
        <v>0</v>
      </c>
      <c r="I634" s="136">
        <f>BARDEZ!H243</f>
        <v>0</v>
      </c>
      <c r="J634" s="136">
        <f>BARDEZ!I243</f>
        <v>0</v>
      </c>
      <c r="K634" s="136">
        <f>BARDEZ!J243</f>
        <v>522.8832764606358</v>
      </c>
      <c r="L634" s="136">
        <f>BARDEZ!K243</f>
        <v>799.2595162383997</v>
      </c>
      <c r="M634" s="136">
        <f>BARDEZ!L243</f>
        <v>1220.6872611641013</v>
      </c>
      <c r="N634" s="136">
        <f>BARDEZ!M243</f>
        <v>1801.966909337483</v>
      </c>
      <c r="O634" s="136">
        <f>BARDEZ!N243</f>
        <v>39.2375</v>
      </c>
      <c r="P634" s="136">
        <f>BARDEZ!O243</f>
        <v>240</v>
      </c>
      <c r="Q634" s="136">
        <f>BARDEZ!P243</f>
        <v>495</v>
      </c>
      <c r="R634" s="136">
        <f>BARDEZ!R243</f>
        <v>5119.03446320062</v>
      </c>
      <c r="T634" s="66">
        <v>0</v>
      </c>
      <c r="U634" s="66">
        <v>0</v>
      </c>
      <c r="V634" s="66">
        <v>0</v>
      </c>
      <c r="W634" s="66">
        <v>121.274288</v>
      </c>
      <c r="X634" s="66">
        <v>6071.02144</v>
      </c>
      <c r="Y634" s="66">
        <v>6192.295728</v>
      </c>
    </row>
    <row r="635" spans="1:25" ht="18.75">
      <c r="A635" s="138"/>
      <c r="B635" s="138">
        <v>4</v>
      </c>
      <c r="C635" s="138" t="s">
        <v>347</v>
      </c>
      <c r="D635" s="137" t="s">
        <v>508</v>
      </c>
      <c r="E635" s="136">
        <f>BARDEZ!D244</f>
        <v>0</v>
      </c>
      <c r="F635" s="136">
        <f>BARDEZ!E244</f>
        <v>0</v>
      </c>
      <c r="G635" s="136">
        <f>BARDEZ!F244</f>
        <v>0</v>
      </c>
      <c r="H635" s="136">
        <f>BARDEZ!G244</f>
        <v>0</v>
      </c>
      <c r="I635" s="136">
        <f>BARDEZ!H244</f>
        <v>0</v>
      </c>
      <c r="J635" s="136">
        <f>BARDEZ!I244</f>
        <v>0</v>
      </c>
      <c r="K635" s="136">
        <f>BARDEZ!J244</f>
        <v>522.8832764606358</v>
      </c>
      <c r="L635" s="136">
        <f>BARDEZ!K244</f>
        <v>499.5371976489997</v>
      </c>
      <c r="M635" s="136">
        <f>BARDEZ!L244</f>
        <v>762.9295382275632</v>
      </c>
      <c r="N635" s="136">
        <f>BARDEZ!M244</f>
        <v>1126.2293183359266</v>
      </c>
      <c r="O635" s="136">
        <f>BARDEZ!N244</f>
        <v>39.2375</v>
      </c>
      <c r="P635" s="136">
        <f>BARDEZ!O244</f>
        <v>240</v>
      </c>
      <c r="Q635" s="136">
        <f>BARDEZ!P244</f>
        <v>495</v>
      </c>
      <c r="R635" s="136">
        <f>BARDEZ!R244</f>
        <v>3685.8168306731254</v>
      </c>
      <c r="T635" s="66">
        <v>0</v>
      </c>
      <c r="U635" s="66">
        <v>0</v>
      </c>
      <c r="V635" s="66">
        <v>0</v>
      </c>
      <c r="W635" s="66">
        <v>121.274288</v>
      </c>
      <c r="X635" s="66">
        <v>3794.3884</v>
      </c>
      <c r="Y635" s="66">
        <v>3914.662688</v>
      </c>
    </row>
    <row r="636" spans="1:25" ht="18.75">
      <c r="A636" s="138">
        <v>2</v>
      </c>
      <c r="B636" s="138"/>
      <c r="C636" s="138" t="s">
        <v>78</v>
      </c>
      <c r="D636" s="137"/>
      <c r="E636" s="136">
        <f>BARDEZ!D245</f>
        <v>0</v>
      </c>
      <c r="F636" s="136">
        <f>BARDEZ!E245</f>
        <v>0</v>
      </c>
      <c r="G636" s="136">
        <f>BARDEZ!F245</f>
        <v>0</v>
      </c>
      <c r="H636" s="136">
        <f>BARDEZ!G245</f>
        <v>0</v>
      </c>
      <c r="I636" s="136">
        <f>BARDEZ!H245</f>
        <v>0</v>
      </c>
      <c r="J636" s="136">
        <f>BARDEZ!I245</f>
        <v>0</v>
      </c>
      <c r="K636" s="136">
        <f>BARDEZ!J245</f>
        <v>1045.7665529212716</v>
      </c>
      <c r="L636" s="136">
        <f>BARDEZ!K245</f>
        <v>1298.7967138873994</v>
      </c>
      <c r="M636" s="136">
        <f>BARDEZ!L245</f>
        <v>1983.6167993916645</v>
      </c>
      <c r="N636" s="136">
        <f>BARDEZ!M245</f>
        <v>2928.1962276734093</v>
      </c>
      <c r="O636" s="136">
        <f>BARDEZ!N245</f>
        <v>78.475</v>
      </c>
      <c r="P636" s="136">
        <f>BARDEZ!O245</f>
        <v>480</v>
      </c>
      <c r="Q636" s="136">
        <f>BARDEZ!P245</f>
        <v>990</v>
      </c>
      <c r="R636" s="136">
        <f>BARDEZ!R245</f>
        <v>8804.851293873746</v>
      </c>
      <c r="T636" s="66">
        <v>0</v>
      </c>
      <c r="U636" s="66">
        <v>0</v>
      </c>
      <c r="V636" s="66">
        <v>0</v>
      </c>
      <c r="W636" s="66">
        <v>241.548576</v>
      </c>
      <c r="X636" s="66">
        <v>9865.40984</v>
      </c>
      <c r="Y636" s="66">
        <v>10106.958416</v>
      </c>
    </row>
    <row r="637" spans="1:25" ht="18.75">
      <c r="A637" s="138"/>
      <c r="B637" s="138"/>
      <c r="C637" s="138"/>
      <c r="D637" s="141"/>
      <c r="E637" s="138"/>
      <c r="F637" s="138"/>
      <c r="G637" s="138"/>
      <c r="H637" s="138"/>
      <c r="I637" s="138"/>
      <c r="J637" s="138"/>
      <c r="K637" s="138"/>
      <c r="L637" s="138"/>
      <c r="M637" s="138"/>
      <c r="N637" s="138"/>
      <c r="O637" s="138"/>
      <c r="P637" s="138"/>
      <c r="Q637" s="138"/>
      <c r="R637" s="138"/>
      <c r="T637" s="67"/>
      <c r="U637" s="67"/>
      <c r="V637" s="67"/>
      <c r="W637" s="67"/>
      <c r="X637" s="67"/>
      <c r="Y637" s="67"/>
    </row>
    <row r="638" spans="1:25" ht="18.75">
      <c r="A638" s="138"/>
      <c r="B638" s="138"/>
      <c r="C638" s="138"/>
      <c r="D638" s="141"/>
      <c r="E638" s="138"/>
      <c r="F638" s="138"/>
      <c r="G638" s="138"/>
      <c r="H638" s="138"/>
      <c r="I638" s="138"/>
      <c r="J638" s="138"/>
      <c r="K638" s="138"/>
      <c r="L638" s="138"/>
      <c r="M638" s="138"/>
      <c r="N638" s="138"/>
      <c r="O638" s="138"/>
      <c r="P638" s="138"/>
      <c r="Q638" s="138"/>
      <c r="R638" s="138"/>
      <c r="T638" s="67"/>
      <c r="U638" s="67"/>
      <c r="V638" s="67"/>
      <c r="W638" s="67"/>
      <c r="X638" s="67"/>
      <c r="Y638" s="67"/>
    </row>
    <row r="639" spans="1:25" ht="18.75">
      <c r="A639" s="136">
        <v>5</v>
      </c>
      <c r="B639" s="138"/>
      <c r="C639" s="143" t="s">
        <v>17</v>
      </c>
      <c r="D639" s="144"/>
      <c r="E639" s="145">
        <f aca="true" t="shared" si="37" ref="E639:R639">E631+E636</f>
        <v>0</v>
      </c>
      <c r="F639" s="145">
        <f t="shared" si="37"/>
        <v>0</v>
      </c>
      <c r="G639" s="145">
        <f t="shared" si="37"/>
        <v>0</v>
      </c>
      <c r="H639" s="145">
        <f t="shared" si="37"/>
        <v>0</v>
      </c>
      <c r="I639" s="145">
        <f t="shared" si="37"/>
        <v>0</v>
      </c>
      <c r="J639" s="145">
        <f t="shared" si="37"/>
        <v>0</v>
      </c>
      <c r="K639" s="145">
        <f t="shared" si="37"/>
        <v>2091.533105842543</v>
      </c>
      <c r="L639" s="145">
        <f t="shared" si="37"/>
        <v>1798.2827780658333</v>
      </c>
      <c r="M639" s="145">
        <f t="shared" si="37"/>
        <v>2746.468242864182</v>
      </c>
      <c r="N639" s="145">
        <f t="shared" si="37"/>
        <v>4054.3102632756963</v>
      </c>
      <c r="O639" s="145">
        <f t="shared" si="37"/>
        <v>168.155</v>
      </c>
      <c r="P639" s="145">
        <f t="shared" si="37"/>
        <v>1034.28</v>
      </c>
      <c r="Q639" s="145">
        <f t="shared" si="37"/>
        <v>2090</v>
      </c>
      <c r="R639" s="145">
        <f t="shared" si="37"/>
        <v>13983.029390048256</v>
      </c>
      <c r="T639" s="71">
        <v>0</v>
      </c>
      <c r="U639" s="71">
        <v>0</v>
      </c>
      <c r="V639" s="71">
        <v>0</v>
      </c>
      <c r="W639" s="71">
        <v>606.37144</v>
      </c>
      <c r="X639" s="71">
        <v>17452.79824</v>
      </c>
      <c r="Y639" s="71">
        <v>18059.16968</v>
      </c>
    </row>
    <row r="640" spans="1:25" ht="18.75">
      <c r="A640" s="138"/>
      <c r="B640" s="138"/>
      <c r="C640" s="138"/>
      <c r="D640" s="141"/>
      <c r="E640" s="138"/>
      <c r="F640" s="138"/>
      <c r="G640" s="138"/>
      <c r="H640" s="138"/>
      <c r="I640" s="138"/>
      <c r="J640" s="138"/>
      <c r="K640" s="138"/>
      <c r="L640" s="138"/>
      <c r="M640" s="138"/>
      <c r="N640" s="138"/>
      <c r="O640" s="138"/>
      <c r="P640" s="138"/>
      <c r="Q640" s="138"/>
      <c r="R640" s="138"/>
      <c r="T640" s="67"/>
      <c r="U640" s="67"/>
      <c r="V640" s="67"/>
      <c r="W640" s="67"/>
      <c r="X640" s="67"/>
      <c r="Y640" s="67"/>
    </row>
    <row r="641" spans="1:25" ht="18.75">
      <c r="A641" s="138"/>
      <c r="B641" s="138"/>
      <c r="C641" s="143" t="s">
        <v>486</v>
      </c>
      <c r="D641" s="141"/>
      <c r="E641" s="138"/>
      <c r="F641" s="138"/>
      <c r="G641" s="138"/>
      <c r="H641" s="138"/>
      <c r="I641" s="138"/>
      <c r="J641" s="138"/>
      <c r="K641" s="138"/>
      <c r="L641" s="138"/>
      <c r="M641" s="138"/>
      <c r="N641" s="138"/>
      <c r="O641" s="138"/>
      <c r="P641" s="138"/>
      <c r="Q641" s="138"/>
      <c r="R641" s="138"/>
      <c r="T641" s="67"/>
      <c r="U641" s="67"/>
      <c r="V641" s="67"/>
      <c r="W641" s="67"/>
      <c r="X641" s="67"/>
      <c r="Y641" s="67"/>
    </row>
    <row r="642" spans="1:25" ht="18.75">
      <c r="A642" s="138"/>
      <c r="B642" s="138"/>
      <c r="C642" s="138" t="s">
        <v>41</v>
      </c>
      <c r="D642" s="141"/>
      <c r="E642" s="138"/>
      <c r="F642" s="138"/>
      <c r="G642" s="138"/>
      <c r="H642" s="138"/>
      <c r="I642" s="138"/>
      <c r="J642" s="138"/>
      <c r="K642" s="138"/>
      <c r="L642" s="138"/>
      <c r="M642" s="138"/>
      <c r="N642" s="138"/>
      <c r="O642" s="138"/>
      <c r="P642" s="138"/>
      <c r="Q642" s="138"/>
      <c r="R642" s="138"/>
      <c r="T642" s="67"/>
      <c r="U642" s="67"/>
      <c r="V642" s="67"/>
      <c r="W642" s="67"/>
      <c r="X642" s="67"/>
      <c r="Y642" s="67"/>
    </row>
    <row r="643" spans="1:25" ht="18.75">
      <c r="A643" s="138">
        <v>1</v>
      </c>
      <c r="B643" s="138">
        <v>1</v>
      </c>
      <c r="C643" s="138" t="s">
        <v>193</v>
      </c>
      <c r="D643" s="137" t="s">
        <v>507</v>
      </c>
      <c r="E643" s="136">
        <f>'TISWADI '!D257</f>
        <v>0</v>
      </c>
      <c r="F643" s="136">
        <f>'TISWADI '!E257</f>
        <v>0</v>
      </c>
      <c r="G643" s="136">
        <f>'TISWADI '!F257</f>
        <v>0</v>
      </c>
      <c r="H643" s="136">
        <f>'TISWADI '!G257</f>
        <v>0</v>
      </c>
      <c r="I643" s="136">
        <f>'TISWADI '!H257</f>
        <v>0</v>
      </c>
      <c r="J643" s="136">
        <f>'TISWADI '!I257</f>
        <v>0</v>
      </c>
      <c r="K643" s="136">
        <f>'TISWADI '!J257</f>
        <v>1045.7665529212716</v>
      </c>
      <c r="L643" s="136">
        <f>'TISWADI '!K257</f>
        <v>499.5371976489997</v>
      </c>
      <c r="M643" s="136">
        <f>'TISWADI '!L257</f>
        <v>762.9295382275632</v>
      </c>
      <c r="N643" s="136">
        <f>'TISWADI '!M257</f>
        <v>1126.2293183359266</v>
      </c>
      <c r="O643" s="136">
        <f>'TISWADI '!N257</f>
        <v>44.84</v>
      </c>
      <c r="P643" s="136">
        <f>'TISWADI '!O257</f>
        <v>277.14</v>
      </c>
      <c r="Q643" s="136">
        <f>'TISWADI '!P257</f>
        <v>550</v>
      </c>
      <c r="R643" s="136">
        <f>'TISWADI '!S257</f>
        <v>4306.442607133761</v>
      </c>
      <c r="T643" s="66">
        <v>0</v>
      </c>
      <c r="U643" s="66">
        <v>0</v>
      </c>
      <c r="V643" s="66">
        <v>0</v>
      </c>
      <c r="W643" s="66">
        <v>242.548576</v>
      </c>
      <c r="X643" s="66">
        <v>3794.3884</v>
      </c>
      <c r="Y643" s="66">
        <v>4036.936976</v>
      </c>
    </row>
    <row r="644" spans="1:25" ht="18.75">
      <c r="A644" s="138"/>
      <c r="B644" s="138"/>
      <c r="C644" s="138"/>
      <c r="D644" s="141"/>
      <c r="E644" s="138"/>
      <c r="F644" s="138"/>
      <c r="G644" s="138"/>
      <c r="H644" s="138"/>
      <c r="I644" s="138"/>
      <c r="J644" s="138"/>
      <c r="K644" s="138"/>
      <c r="L644" s="138"/>
      <c r="M644" s="138"/>
      <c r="N644" s="138"/>
      <c r="O644" s="138"/>
      <c r="P644" s="138"/>
      <c r="Q644" s="138"/>
      <c r="R644" s="138"/>
      <c r="T644" s="67"/>
      <c r="U644" s="67"/>
      <c r="V644" s="67"/>
      <c r="W644" s="67"/>
      <c r="X644" s="67"/>
      <c r="Y644" s="67"/>
    </row>
    <row r="645" spans="1:25" ht="18.75">
      <c r="A645" s="138"/>
      <c r="B645" s="138"/>
      <c r="C645" s="138" t="s">
        <v>42</v>
      </c>
      <c r="D645" s="141"/>
      <c r="E645" s="138"/>
      <c r="F645" s="138"/>
      <c r="G645" s="138"/>
      <c r="H645" s="138"/>
      <c r="I645" s="138"/>
      <c r="J645" s="138"/>
      <c r="K645" s="138"/>
      <c r="L645" s="138"/>
      <c r="M645" s="138"/>
      <c r="N645" s="138"/>
      <c r="O645" s="138"/>
      <c r="P645" s="138"/>
      <c r="Q645" s="138"/>
      <c r="R645" s="138"/>
      <c r="T645" s="67"/>
      <c r="U645" s="67"/>
      <c r="V645" s="67"/>
      <c r="W645" s="67"/>
      <c r="X645" s="67"/>
      <c r="Y645" s="67"/>
    </row>
    <row r="646" spans="1:25" ht="18.75">
      <c r="A646" s="138"/>
      <c r="B646" s="138">
        <v>2</v>
      </c>
      <c r="C646" s="138" t="s">
        <v>351</v>
      </c>
      <c r="D646" s="137" t="s">
        <v>507</v>
      </c>
      <c r="E646" s="136">
        <f>BARDEZ!D256</f>
        <v>0</v>
      </c>
      <c r="F646" s="136">
        <f>BARDEZ!E256</f>
        <v>0</v>
      </c>
      <c r="G646" s="136">
        <f>BARDEZ!F256</f>
        <v>0</v>
      </c>
      <c r="H646" s="136">
        <f>BARDEZ!G256</f>
        <v>0</v>
      </c>
      <c r="I646" s="136">
        <f>BARDEZ!H256</f>
        <v>0</v>
      </c>
      <c r="J646" s="136">
        <f>BARDEZ!I256</f>
        <v>0</v>
      </c>
      <c r="K646" s="136">
        <f>BARDEZ!J256</f>
        <v>0</v>
      </c>
      <c r="L646" s="136">
        <f>BARDEZ!K256</f>
        <v>499.5371976489997</v>
      </c>
      <c r="M646" s="136">
        <f>BARDEZ!L256</f>
        <v>762.9295382275632</v>
      </c>
      <c r="N646" s="136">
        <f>BARDEZ!M256</f>
        <v>1126.2293183359266</v>
      </c>
      <c r="O646" s="136">
        <f>BARDEZ!N256</f>
        <v>39.2375</v>
      </c>
      <c r="P646" s="136">
        <f>BARDEZ!O256</f>
        <v>240</v>
      </c>
      <c r="Q646" s="136">
        <f>BARDEZ!P256</f>
        <v>495</v>
      </c>
      <c r="R646" s="136">
        <f>BARDEZ!R256</f>
        <v>3162.9335542124895</v>
      </c>
      <c r="T646" s="66">
        <v>0</v>
      </c>
      <c r="U646" s="66">
        <v>0</v>
      </c>
      <c r="V646" s="66">
        <v>0</v>
      </c>
      <c r="W646" s="66">
        <v>0</v>
      </c>
      <c r="X646" s="66">
        <v>3794.3884</v>
      </c>
      <c r="Y646" s="66">
        <v>3794.3884</v>
      </c>
    </row>
    <row r="647" spans="1:25" ht="18.75">
      <c r="A647" s="138"/>
      <c r="B647" s="138">
        <v>3</v>
      </c>
      <c r="C647" s="138" t="s">
        <v>352</v>
      </c>
      <c r="D647" s="137" t="s">
        <v>507</v>
      </c>
      <c r="E647" s="136">
        <f>BARDEZ!D257</f>
        <v>0</v>
      </c>
      <c r="F647" s="136">
        <f>BARDEZ!E257</f>
        <v>0</v>
      </c>
      <c r="G647" s="136">
        <f>BARDEZ!F257</f>
        <v>0</v>
      </c>
      <c r="H647" s="136">
        <f>BARDEZ!G257</f>
        <v>0</v>
      </c>
      <c r="I647" s="136">
        <f>BARDEZ!H257</f>
        <v>0</v>
      </c>
      <c r="J647" s="136">
        <f>BARDEZ!I257</f>
        <v>0</v>
      </c>
      <c r="K647" s="136">
        <f>BARDEZ!J257</f>
        <v>0</v>
      </c>
      <c r="L647" s="136">
        <f>BARDEZ!K257</f>
        <v>499.5371976489997</v>
      </c>
      <c r="M647" s="136">
        <f>BARDEZ!L257</f>
        <v>762.9295382275632</v>
      </c>
      <c r="N647" s="136">
        <f>BARDEZ!M257</f>
        <v>1126.2293183359266</v>
      </c>
      <c r="O647" s="136">
        <f>BARDEZ!N257</f>
        <v>39.2375</v>
      </c>
      <c r="P647" s="136">
        <f>BARDEZ!O257</f>
        <v>240</v>
      </c>
      <c r="Q647" s="136">
        <f>BARDEZ!P257</f>
        <v>495</v>
      </c>
      <c r="R647" s="136">
        <f>BARDEZ!R257</f>
        <v>3162.9335542124895</v>
      </c>
      <c r="T647" s="66">
        <v>0</v>
      </c>
      <c r="U647" s="66">
        <v>0</v>
      </c>
      <c r="V647" s="66">
        <v>0</v>
      </c>
      <c r="W647" s="66">
        <v>0</v>
      </c>
      <c r="X647" s="66">
        <v>3794.3884</v>
      </c>
      <c r="Y647" s="66">
        <v>3794.3884</v>
      </c>
    </row>
    <row r="648" spans="1:25" ht="18.75">
      <c r="A648" s="138">
        <v>2</v>
      </c>
      <c r="B648" s="138"/>
      <c r="C648" s="138" t="s">
        <v>78</v>
      </c>
      <c r="D648" s="137"/>
      <c r="E648" s="136">
        <f>BARDEZ!D258</f>
        <v>0</v>
      </c>
      <c r="F648" s="136">
        <f>BARDEZ!E258</f>
        <v>0</v>
      </c>
      <c r="G648" s="136">
        <f>BARDEZ!F258</f>
        <v>0</v>
      </c>
      <c r="H648" s="136">
        <f>BARDEZ!G258</f>
        <v>0</v>
      </c>
      <c r="I648" s="136">
        <f>BARDEZ!H258</f>
        <v>0</v>
      </c>
      <c r="J648" s="136">
        <f>BARDEZ!I258</f>
        <v>0</v>
      </c>
      <c r="K648" s="136">
        <f>BARDEZ!J258</f>
        <v>0</v>
      </c>
      <c r="L648" s="136">
        <f>BARDEZ!K258</f>
        <v>999.0743952979994</v>
      </c>
      <c r="M648" s="136">
        <f>BARDEZ!L258</f>
        <v>1525.8590764551263</v>
      </c>
      <c r="N648" s="136">
        <f>BARDEZ!M258</f>
        <v>2252.458636671853</v>
      </c>
      <c r="O648" s="136">
        <f>BARDEZ!N258</f>
        <v>78.475</v>
      </c>
      <c r="P648" s="136">
        <f>BARDEZ!O258</f>
        <v>480</v>
      </c>
      <c r="Q648" s="136">
        <f>BARDEZ!P258</f>
        <v>990</v>
      </c>
      <c r="R648" s="136">
        <f>BARDEZ!R258</f>
        <v>6325.867108424979</v>
      </c>
      <c r="T648" s="66">
        <v>0</v>
      </c>
      <c r="U648" s="66">
        <v>0</v>
      </c>
      <c r="V648" s="66">
        <v>0</v>
      </c>
      <c r="W648" s="66">
        <v>0</v>
      </c>
      <c r="X648" s="66">
        <v>7587.7768</v>
      </c>
      <c r="Y648" s="66">
        <v>7587.7768</v>
      </c>
    </row>
    <row r="649" spans="1:25" ht="18.75">
      <c r="A649" s="138"/>
      <c r="B649" s="138"/>
      <c r="C649" s="138"/>
      <c r="D649" s="141"/>
      <c r="E649" s="138"/>
      <c r="F649" s="138"/>
      <c r="G649" s="138"/>
      <c r="H649" s="138"/>
      <c r="I649" s="138"/>
      <c r="J649" s="138"/>
      <c r="K649" s="138"/>
      <c r="L649" s="138"/>
      <c r="M649" s="138"/>
      <c r="N649" s="138"/>
      <c r="O649" s="138"/>
      <c r="P649" s="138"/>
      <c r="Q649" s="138"/>
      <c r="R649" s="138"/>
      <c r="T649" s="67"/>
      <c r="U649" s="67"/>
      <c r="V649" s="67"/>
      <c r="W649" s="67"/>
      <c r="X649" s="67"/>
      <c r="Y649" s="67"/>
    </row>
    <row r="650" spans="1:25" ht="18.75">
      <c r="A650" s="138"/>
      <c r="B650" s="138"/>
      <c r="C650" s="138"/>
      <c r="D650" s="141"/>
      <c r="E650" s="138"/>
      <c r="F650" s="138"/>
      <c r="G650" s="138"/>
      <c r="H650" s="138"/>
      <c r="I650" s="138"/>
      <c r="J650" s="138"/>
      <c r="K650" s="138"/>
      <c r="L650" s="138"/>
      <c r="M650" s="138"/>
      <c r="N650" s="138"/>
      <c r="O650" s="138"/>
      <c r="P650" s="138"/>
      <c r="Q650" s="138"/>
      <c r="R650" s="138"/>
      <c r="T650" s="67"/>
      <c r="U650" s="67"/>
      <c r="V650" s="67"/>
      <c r="W650" s="67"/>
      <c r="X650" s="67"/>
      <c r="Y650" s="67"/>
    </row>
    <row r="651" spans="1:25" ht="18.75">
      <c r="A651" s="136">
        <v>4</v>
      </c>
      <c r="B651" s="138"/>
      <c r="C651" s="143" t="s">
        <v>17</v>
      </c>
      <c r="D651" s="144"/>
      <c r="E651" s="145">
        <f aca="true" t="shared" si="38" ref="E651:R651">E643+E648</f>
        <v>0</v>
      </c>
      <c r="F651" s="145">
        <f t="shared" si="38"/>
        <v>0</v>
      </c>
      <c r="G651" s="145">
        <f t="shared" si="38"/>
        <v>0</v>
      </c>
      <c r="H651" s="145">
        <f t="shared" si="38"/>
        <v>0</v>
      </c>
      <c r="I651" s="145">
        <f t="shared" si="38"/>
        <v>0</v>
      </c>
      <c r="J651" s="145">
        <f t="shared" si="38"/>
        <v>0</v>
      </c>
      <c r="K651" s="145">
        <f t="shared" si="38"/>
        <v>1045.7665529212716</v>
      </c>
      <c r="L651" s="145">
        <f t="shared" si="38"/>
        <v>1498.6115929469993</v>
      </c>
      <c r="M651" s="145">
        <f t="shared" si="38"/>
        <v>2288.7886146826895</v>
      </c>
      <c r="N651" s="145">
        <f t="shared" si="38"/>
        <v>3378.6879550077797</v>
      </c>
      <c r="O651" s="145">
        <f t="shared" si="38"/>
        <v>123.315</v>
      </c>
      <c r="P651" s="145">
        <f t="shared" si="38"/>
        <v>757.14</v>
      </c>
      <c r="Q651" s="145">
        <f t="shared" si="38"/>
        <v>1540</v>
      </c>
      <c r="R651" s="145">
        <f t="shared" si="38"/>
        <v>10632.30971555874</v>
      </c>
      <c r="T651" s="71">
        <v>0</v>
      </c>
      <c r="U651" s="71">
        <v>0</v>
      </c>
      <c r="V651" s="71">
        <v>0</v>
      </c>
      <c r="W651" s="71">
        <v>363.822864</v>
      </c>
      <c r="X651" s="71">
        <v>14417.67592</v>
      </c>
      <c r="Y651" s="71">
        <v>14782.498784</v>
      </c>
    </row>
    <row r="652" spans="1:25" ht="18.75">
      <c r="A652" s="138"/>
      <c r="B652" s="138"/>
      <c r="C652" s="138"/>
      <c r="D652" s="141"/>
      <c r="E652" s="138"/>
      <c r="F652" s="138"/>
      <c r="G652" s="138"/>
      <c r="H652" s="138"/>
      <c r="I652" s="138"/>
      <c r="J652" s="138"/>
      <c r="K652" s="138"/>
      <c r="L652" s="138"/>
      <c r="M652" s="138"/>
      <c r="N652" s="138"/>
      <c r="O652" s="138"/>
      <c r="P652" s="138"/>
      <c r="Q652" s="138"/>
      <c r="R652" s="138"/>
      <c r="T652" s="67"/>
      <c r="U652" s="67"/>
      <c r="V652" s="67"/>
      <c r="W652" s="67"/>
      <c r="X652" s="67"/>
      <c r="Y652" s="67"/>
    </row>
    <row r="653" spans="1:25" ht="18.75">
      <c r="A653" s="138"/>
      <c r="B653" s="138"/>
      <c r="C653" s="143" t="s">
        <v>487</v>
      </c>
      <c r="D653" s="141"/>
      <c r="E653" s="138"/>
      <c r="F653" s="138"/>
      <c r="G653" s="138"/>
      <c r="H653" s="138"/>
      <c r="I653" s="138"/>
      <c r="J653" s="138"/>
      <c r="K653" s="138"/>
      <c r="L653" s="138"/>
      <c r="M653" s="138"/>
      <c r="N653" s="138"/>
      <c r="O653" s="138"/>
      <c r="P653" s="138"/>
      <c r="Q653" s="138"/>
      <c r="R653" s="138"/>
      <c r="T653" s="67"/>
      <c r="U653" s="67"/>
      <c r="V653" s="67"/>
      <c r="W653" s="67"/>
      <c r="X653" s="67"/>
      <c r="Y653" s="67"/>
    </row>
    <row r="654" spans="1:25" ht="18.75">
      <c r="A654" s="138"/>
      <c r="B654" s="138"/>
      <c r="C654" s="138" t="s">
        <v>41</v>
      </c>
      <c r="D654" s="141"/>
      <c r="E654" s="138"/>
      <c r="F654" s="138"/>
      <c r="G654" s="138"/>
      <c r="H654" s="138"/>
      <c r="I654" s="138"/>
      <c r="J654" s="138"/>
      <c r="K654" s="138"/>
      <c r="L654" s="138"/>
      <c r="M654" s="138"/>
      <c r="N654" s="138"/>
      <c r="O654" s="138"/>
      <c r="P654" s="138"/>
      <c r="Q654" s="138"/>
      <c r="R654" s="138"/>
      <c r="T654" s="67"/>
      <c r="U654" s="67"/>
      <c r="V654" s="67"/>
      <c r="W654" s="67"/>
      <c r="X654" s="67"/>
      <c r="Y654" s="67"/>
    </row>
    <row r="655" spans="1:25" ht="18.75">
      <c r="A655" s="138"/>
      <c r="B655" s="138">
        <v>1</v>
      </c>
      <c r="C655" s="138" t="s">
        <v>172</v>
      </c>
      <c r="D655" s="137" t="s">
        <v>507</v>
      </c>
      <c r="E655" s="136">
        <f>'TISWADI '!D204</f>
        <v>0</v>
      </c>
      <c r="F655" s="136">
        <f>'TISWADI '!E204</f>
        <v>0</v>
      </c>
      <c r="G655" s="136">
        <f>'TISWADI '!F204</f>
        <v>0</v>
      </c>
      <c r="H655" s="136">
        <f>'TISWADI '!G204</f>
        <v>0</v>
      </c>
      <c r="I655" s="136">
        <f>'TISWADI '!H204</f>
        <v>0</v>
      </c>
      <c r="J655" s="136">
        <f>'TISWADI '!I204</f>
        <v>0</v>
      </c>
      <c r="K655" s="136">
        <f>'TISWADI '!J204</f>
        <v>21267.61375136276</v>
      </c>
      <c r="L655" s="136">
        <f>'TISWADI '!K204</f>
        <v>10768.531602455767</v>
      </c>
      <c r="M655" s="136">
        <f>'TISWADI '!L204</f>
        <v>16446.48462920517</v>
      </c>
      <c r="N655" s="136">
        <f>'TISWADI '!M204</f>
        <v>24278.14397644573</v>
      </c>
      <c r="O655" s="136">
        <f>'TISWADI '!N204</f>
        <v>44.84</v>
      </c>
      <c r="P655" s="136">
        <f>'TISWADI '!O204</f>
        <v>277.14</v>
      </c>
      <c r="Q655" s="136">
        <f>'TISWADI '!P204</f>
        <v>572.6785714285714</v>
      </c>
      <c r="R655" s="136">
        <f>'TISWADI '!S204</f>
        <v>73655.43253089799</v>
      </c>
      <c r="T655" s="66">
        <v>0</v>
      </c>
      <c r="U655" s="66">
        <v>0</v>
      </c>
      <c r="V655" s="66">
        <v>0</v>
      </c>
      <c r="W655" s="66">
        <v>4932.67777201457</v>
      </c>
      <c r="X655" s="66">
        <v>81795.6932730801</v>
      </c>
      <c r="Y655" s="66">
        <v>86729.3710450946</v>
      </c>
    </row>
    <row r="656" spans="1:25" ht="18.75">
      <c r="A656" s="138"/>
      <c r="B656" s="138">
        <v>2</v>
      </c>
      <c r="C656" s="138" t="s">
        <v>173</v>
      </c>
      <c r="D656" s="137" t="s">
        <v>507</v>
      </c>
      <c r="E656" s="136">
        <f>'TISWADI '!D205</f>
        <v>0</v>
      </c>
      <c r="F656" s="136">
        <f>'TISWADI '!E205</f>
        <v>0</v>
      </c>
      <c r="G656" s="136">
        <f>'TISWADI '!F205</f>
        <v>0</v>
      </c>
      <c r="H656" s="136">
        <f>'TISWADI '!G205</f>
        <v>0</v>
      </c>
      <c r="I656" s="136">
        <f>'TISWADI '!H205</f>
        <v>0</v>
      </c>
      <c r="J656" s="136">
        <f>'TISWADI '!I205</f>
        <v>0</v>
      </c>
      <c r="K656" s="136">
        <f>'TISWADI '!J205</f>
        <v>44268.18682572488</v>
      </c>
      <c r="L656" s="136">
        <f>'TISWADI '!K205</f>
        <v>10293.273034587832</v>
      </c>
      <c r="M656" s="136">
        <f>'TISWADI '!L205</f>
        <v>15720.635180097779</v>
      </c>
      <c r="N656" s="136">
        <f>'TISWADI '!M205</f>
        <v>23206.651932525296</v>
      </c>
      <c r="O656" s="136">
        <f>'TISWADI '!N205</f>
        <v>44.84</v>
      </c>
      <c r="P656" s="136">
        <f>'TISWADI '!O205</f>
        <v>277.14</v>
      </c>
      <c r="Q656" s="136">
        <f>'TISWADI '!P205</f>
        <v>572.6785714285714</v>
      </c>
      <c r="R656" s="136">
        <f>'TISWADI '!S205</f>
        <v>94383.40554436436</v>
      </c>
      <c r="T656" s="66">
        <v>0</v>
      </c>
      <c r="U656" s="66">
        <v>0</v>
      </c>
      <c r="V656" s="66">
        <v>0</v>
      </c>
      <c r="W656" s="66">
        <v>10267.2873278343</v>
      </c>
      <c r="X656" s="66">
        <v>78185.7206716287</v>
      </c>
      <c r="Y656" s="66">
        <v>88453.0079994631</v>
      </c>
    </row>
    <row r="657" spans="1:25" ht="18.75">
      <c r="A657" s="138">
        <v>2</v>
      </c>
      <c r="B657" s="138"/>
      <c r="C657" s="138" t="s">
        <v>78</v>
      </c>
      <c r="D657" s="137"/>
      <c r="E657" s="136">
        <f>'TISWADI '!D206</f>
        <v>0</v>
      </c>
      <c r="F657" s="136">
        <f>'TISWADI '!E206</f>
        <v>0</v>
      </c>
      <c r="G657" s="136">
        <f>'TISWADI '!F206</f>
        <v>0</v>
      </c>
      <c r="H657" s="136">
        <f>'TISWADI '!G206</f>
        <v>0</v>
      </c>
      <c r="I657" s="136">
        <f>'TISWADI '!H206</f>
        <v>0</v>
      </c>
      <c r="J657" s="136">
        <f>'TISWADI '!I206</f>
        <v>0</v>
      </c>
      <c r="K657" s="136">
        <f>'TISWADI '!J206</f>
        <v>65535.80057708763</v>
      </c>
      <c r="L657" s="136">
        <f>'TISWADI '!K206</f>
        <v>21061.8046370436</v>
      </c>
      <c r="M657" s="136">
        <f>'TISWADI '!L206</f>
        <v>32167.11980930295</v>
      </c>
      <c r="N657" s="136">
        <f>'TISWADI '!M206</f>
        <v>47484.79590897102</v>
      </c>
      <c r="O657" s="136">
        <f>'TISWADI '!N206</f>
        <v>89.68</v>
      </c>
      <c r="P657" s="136">
        <f>'TISWADI '!O206</f>
        <v>554.28</v>
      </c>
      <c r="Q657" s="136">
        <f>'TISWADI '!P206</f>
        <v>1145.357142857143</v>
      </c>
      <c r="R657" s="136">
        <f>'TISWADI '!S206</f>
        <v>168038.83807526235</v>
      </c>
      <c r="T657" s="66">
        <v>0</v>
      </c>
      <c r="U657" s="66">
        <v>0</v>
      </c>
      <c r="V657" s="66">
        <v>0</v>
      </c>
      <c r="W657" s="66">
        <v>15199.9650998489</v>
      </c>
      <c r="X657" s="66">
        <v>159982.413944709</v>
      </c>
      <c r="Y657" s="66">
        <v>175182.379044558</v>
      </c>
    </row>
    <row r="658" spans="1:25" ht="18.75">
      <c r="A658" s="138"/>
      <c r="B658" s="138"/>
      <c r="C658" s="138"/>
      <c r="D658" s="141"/>
      <c r="E658" s="138"/>
      <c r="F658" s="138"/>
      <c r="G658" s="138"/>
      <c r="H658" s="138"/>
      <c r="I658" s="138"/>
      <c r="J658" s="138"/>
      <c r="K658" s="138"/>
      <c r="L658" s="138"/>
      <c r="M658" s="138"/>
      <c r="N658" s="138"/>
      <c r="O658" s="138"/>
      <c r="P658" s="138"/>
      <c r="Q658" s="138"/>
      <c r="R658" s="138"/>
      <c r="T658" s="67"/>
      <c r="U658" s="67"/>
      <c r="V658" s="67"/>
      <c r="W658" s="67"/>
      <c r="X658" s="67"/>
      <c r="Y658" s="67"/>
    </row>
    <row r="659" spans="1:25" ht="18.75">
      <c r="A659" s="138"/>
      <c r="B659" s="138"/>
      <c r="C659" s="138" t="s">
        <v>42</v>
      </c>
      <c r="D659" s="141"/>
      <c r="E659" s="138"/>
      <c r="F659" s="138"/>
      <c r="G659" s="138"/>
      <c r="H659" s="138"/>
      <c r="I659" s="138"/>
      <c r="J659" s="138"/>
      <c r="K659" s="138"/>
      <c r="L659" s="138"/>
      <c r="M659" s="138"/>
      <c r="N659" s="138"/>
      <c r="O659" s="138"/>
      <c r="P659" s="138"/>
      <c r="Q659" s="138"/>
      <c r="R659" s="138"/>
      <c r="T659" s="67"/>
      <c r="U659" s="67"/>
      <c r="V659" s="67"/>
      <c r="W659" s="67"/>
      <c r="X659" s="67"/>
      <c r="Y659" s="67"/>
    </row>
    <row r="660" spans="1:25" ht="18.75">
      <c r="A660" s="138">
        <v>1</v>
      </c>
      <c r="B660" s="138">
        <v>3</v>
      </c>
      <c r="C660" s="138" t="s">
        <v>316</v>
      </c>
      <c r="D660" s="137" t="s">
        <v>507</v>
      </c>
      <c r="E660" s="136">
        <f>BARDEZ!D178</f>
        <v>0</v>
      </c>
      <c r="F660" s="136">
        <f>BARDEZ!E178</f>
        <v>0</v>
      </c>
      <c r="G660" s="136">
        <f>BARDEZ!F178</f>
        <v>0</v>
      </c>
      <c r="H660" s="136">
        <f>BARDEZ!G178</f>
        <v>0</v>
      </c>
      <c r="I660" s="136">
        <f>BARDEZ!H178</f>
        <v>0</v>
      </c>
      <c r="J660" s="136">
        <f>BARDEZ!I178</f>
        <v>0</v>
      </c>
      <c r="K660" s="136">
        <f>BARDEZ!J178</f>
        <v>61321.720425252075</v>
      </c>
      <c r="L660" s="136">
        <f>BARDEZ!K178</f>
        <v>5523.666412140656</v>
      </c>
      <c r="M660" s="136">
        <f>BARDEZ!L178</f>
        <v>8436.14506581482</v>
      </c>
      <c r="N660" s="136">
        <f>BARDEZ!M178</f>
        <v>12453.357001917115</v>
      </c>
      <c r="O660" s="136">
        <f>BARDEZ!N178</f>
        <v>39.2375</v>
      </c>
      <c r="P660" s="136">
        <f>BARDEZ!O178</f>
        <v>240</v>
      </c>
      <c r="Q660" s="136">
        <f>BARDEZ!P178</f>
        <v>501.09375</v>
      </c>
      <c r="R660" s="136">
        <f>BARDEZ!R178</f>
        <v>88515.22015512467</v>
      </c>
      <c r="T660" s="66">
        <v>0</v>
      </c>
      <c r="U660" s="66">
        <v>0</v>
      </c>
      <c r="V660" s="66">
        <v>0</v>
      </c>
      <c r="W660" s="66">
        <v>14222.5776158809</v>
      </c>
      <c r="X660" s="66">
        <v>41956.706844528</v>
      </c>
      <c r="Y660" s="66">
        <v>56180.284460409</v>
      </c>
    </row>
    <row r="661" spans="1:25" ht="18.75">
      <c r="A661" s="138"/>
      <c r="B661" s="138"/>
      <c r="C661" s="138"/>
      <c r="D661" s="141"/>
      <c r="E661" s="138"/>
      <c r="F661" s="138"/>
      <c r="G661" s="138"/>
      <c r="H661" s="138"/>
      <c r="I661" s="138"/>
      <c r="J661" s="138"/>
      <c r="K661" s="138"/>
      <c r="L661" s="138"/>
      <c r="M661" s="138"/>
      <c r="N661" s="138"/>
      <c r="O661" s="138"/>
      <c r="P661" s="138"/>
      <c r="Q661" s="138"/>
      <c r="R661" s="138"/>
      <c r="T661" s="67"/>
      <c r="U661" s="67"/>
      <c r="V661" s="67"/>
      <c r="W661" s="67"/>
      <c r="X661" s="67"/>
      <c r="Y661" s="67"/>
    </row>
    <row r="662" spans="1:25" ht="18.75">
      <c r="A662" s="138"/>
      <c r="B662" s="138"/>
      <c r="C662" s="138"/>
      <c r="D662" s="141"/>
      <c r="E662" s="138"/>
      <c r="F662" s="138"/>
      <c r="G662" s="138"/>
      <c r="H662" s="138"/>
      <c r="I662" s="138"/>
      <c r="J662" s="138"/>
      <c r="K662" s="138"/>
      <c r="L662" s="138"/>
      <c r="M662" s="138"/>
      <c r="N662" s="138"/>
      <c r="O662" s="138"/>
      <c r="P662" s="138"/>
      <c r="Q662" s="138"/>
      <c r="R662" s="138"/>
      <c r="T662" s="67"/>
      <c r="U662" s="67"/>
      <c r="V662" s="67"/>
      <c r="W662" s="67"/>
      <c r="X662" s="67"/>
      <c r="Y662" s="67"/>
    </row>
    <row r="663" spans="1:25" ht="18.75">
      <c r="A663" s="138"/>
      <c r="B663" s="138"/>
      <c r="C663" s="138" t="s">
        <v>43</v>
      </c>
      <c r="D663" s="141"/>
      <c r="E663" s="138"/>
      <c r="F663" s="138"/>
      <c r="G663" s="138"/>
      <c r="H663" s="138"/>
      <c r="I663" s="138"/>
      <c r="J663" s="138"/>
      <c r="K663" s="138"/>
      <c r="L663" s="138"/>
      <c r="M663" s="138"/>
      <c r="N663" s="138"/>
      <c r="O663" s="138"/>
      <c r="P663" s="138"/>
      <c r="Q663" s="138"/>
      <c r="R663" s="138"/>
      <c r="T663" s="67"/>
      <c r="U663" s="67"/>
      <c r="V663" s="67"/>
      <c r="W663" s="67"/>
      <c r="X663" s="67"/>
      <c r="Y663" s="67"/>
    </row>
    <row r="664" spans="1:25" ht="18.75">
      <c r="A664" s="138"/>
      <c r="B664" s="138">
        <v>5</v>
      </c>
      <c r="C664" s="138" t="s">
        <v>384</v>
      </c>
      <c r="D664" s="137" t="s">
        <v>507</v>
      </c>
      <c r="E664" s="136">
        <f>BICHOLIM!D66</f>
        <v>0</v>
      </c>
      <c r="F664" s="136">
        <f>BICHOLIM!E66</f>
        <v>0</v>
      </c>
      <c r="G664" s="136">
        <f>BICHOLIM!F66</f>
        <v>0</v>
      </c>
      <c r="H664" s="136">
        <f>BICHOLIM!G66</f>
        <v>0</v>
      </c>
      <c r="I664" s="136">
        <f>BICHOLIM!H66</f>
        <v>0</v>
      </c>
      <c r="J664" s="136">
        <f>BICHOLIM!I66</f>
        <v>0</v>
      </c>
      <c r="K664" s="136">
        <f>BICHOLIM!J66</f>
        <v>4635.62323196365</v>
      </c>
      <c r="L664" s="136">
        <f>BICHOLIM!K66</f>
        <v>33383.61200012121</v>
      </c>
      <c r="M664" s="136">
        <f>BICHOLIM!L66</f>
        <v>52985.88014563967</v>
      </c>
      <c r="N664" s="136">
        <f>BICHOLIM!M66</f>
        <v>77264.87069118237</v>
      </c>
      <c r="O664" s="136">
        <f>BICHOLIM!N66</f>
        <v>150</v>
      </c>
      <c r="P664" s="136">
        <f>BICHOLIM!O66</f>
        <v>999</v>
      </c>
      <c r="Q664" s="136">
        <f>BICHOLIM!P66</f>
        <v>2009</v>
      </c>
      <c r="R664" s="136">
        <f>BICHOLIM!R66</f>
        <v>171427.9860689069</v>
      </c>
      <c r="T664" s="66">
        <v>0</v>
      </c>
      <c r="U664" s="66">
        <v>0</v>
      </c>
      <c r="V664" s="66">
        <v>0</v>
      </c>
      <c r="W664" s="66">
        <v>1075.15755848614</v>
      </c>
      <c r="X664" s="66">
        <v>253575.490913423</v>
      </c>
      <c r="Y664" s="66">
        <v>254649.648471909</v>
      </c>
    </row>
    <row r="665" spans="1:25" ht="18.75">
      <c r="A665" s="138"/>
      <c r="B665" s="138">
        <v>6</v>
      </c>
      <c r="C665" s="138" t="s">
        <v>510</v>
      </c>
      <c r="D665" s="137" t="s">
        <v>507</v>
      </c>
      <c r="E665" s="136">
        <f>BICHOLIM!D67</f>
        <v>0</v>
      </c>
      <c r="F665" s="136">
        <f>BICHOLIM!E67</f>
        <v>0</v>
      </c>
      <c r="G665" s="136">
        <f>BICHOLIM!F67</f>
        <v>0</v>
      </c>
      <c r="H665" s="136">
        <f>BICHOLIM!G67</f>
        <v>0</v>
      </c>
      <c r="I665" s="136">
        <f>BICHOLIM!H67</f>
        <v>0</v>
      </c>
      <c r="J665" s="136">
        <f>BICHOLIM!I67</f>
        <v>0</v>
      </c>
      <c r="K665" s="136">
        <f>BICHOLIM!J67</f>
        <v>2155.7878635438196</v>
      </c>
      <c r="L665" s="136">
        <f>BICHOLIM!K67</f>
        <v>6582.578600137505</v>
      </c>
      <c r="M665" s="136">
        <f>BICHOLIM!L67</f>
        <v>11053.392771119099</v>
      </c>
      <c r="N665" s="136">
        <f>BICHOLIM!M67</f>
        <v>15840.722662128192</v>
      </c>
      <c r="O665" s="136">
        <f>BICHOLIM!N67</f>
        <v>150</v>
      </c>
      <c r="P665" s="136">
        <f>BICHOLIM!O67</f>
        <v>999</v>
      </c>
      <c r="Q665" s="136">
        <f>BICHOLIM!P67</f>
        <v>2009</v>
      </c>
      <c r="R665" s="136">
        <f>BICHOLIM!R67</f>
        <v>38790.48189692861</v>
      </c>
      <c r="T665" s="66">
        <v>0</v>
      </c>
      <c r="U665" s="66">
        <v>0</v>
      </c>
      <c r="V665" s="66">
        <v>0</v>
      </c>
      <c r="W665" s="66">
        <v>500</v>
      </c>
      <c r="X665" s="66">
        <v>50000</v>
      </c>
      <c r="Y665" s="66">
        <v>50500</v>
      </c>
    </row>
    <row r="666" spans="1:25" ht="18.75">
      <c r="A666" s="138"/>
      <c r="B666" s="138">
        <v>7</v>
      </c>
      <c r="C666" s="138" t="s">
        <v>385</v>
      </c>
      <c r="D666" s="137" t="s">
        <v>507</v>
      </c>
      <c r="E666" s="136">
        <f>BICHOLIM!D68</f>
        <v>0</v>
      </c>
      <c r="F666" s="136">
        <f>BICHOLIM!E68</f>
        <v>0</v>
      </c>
      <c r="G666" s="136">
        <f>BICHOLIM!F68</f>
        <v>0</v>
      </c>
      <c r="H666" s="136">
        <f>BICHOLIM!G68</f>
        <v>0</v>
      </c>
      <c r="I666" s="136">
        <f>BICHOLIM!H68</f>
        <v>0</v>
      </c>
      <c r="J666" s="136">
        <f>BICHOLIM!I68</f>
        <v>0</v>
      </c>
      <c r="K666" s="136">
        <f>BICHOLIM!J68</f>
        <v>2155.7878635438196</v>
      </c>
      <c r="L666" s="136">
        <f>BICHOLIM!K68</f>
        <v>9064.329398555079</v>
      </c>
      <c r="M666" s="136">
        <f>BICHOLIM!L68</f>
        <v>13843.703081429576</v>
      </c>
      <c r="N666" s="136">
        <f>BICHOLIM!M68</f>
        <v>22435.942644015086</v>
      </c>
      <c r="O666" s="136">
        <f>BICHOLIM!N68</f>
        <v>150</v>
      </c>
      <c r="P666" s="136">
        <f>BICHOLIM!O68</f>
        <v>1100</v>
      </c>
      <c r="Q666" s="136">
        <f>BICHOLIM!P68</f>
        <v>2009</v>
      </c>
      <c r="R666" s="136">
        <f>BICHOLIM!R68</f>
        <v>50758.76298754356</v>
      </c>
      <c r="T666" s="66">
        <v>0</v>
      </c>
      <c r="U666" s="66">
        <v>0</v>
      </c>
      <c r="V666" s="66">
        <v>0</v>
      </c>
      <c r="W666" s="66">
        <v>500</v>
      </c>
      <c r="X666" s="66">
        <v>68850.9013653535</v>
      </c>
      <c r="Y666" s="66">
        <v>69350.9013653535</v>
      </c>
    </row>
    <row r="667" spans="1:25" ht="18.75">
      <c r="A667" s="138">
        <v>3</v>
      </c>
      <c r="B667" s="138"/>
      <c r="C667" s="138" t="s">
        <v>78</v>
      </c>
      <c r="D667" s="137"/>
      <c r="E667" s="136">
        <f>BICHOLIM!D69</f>
        <v>0</v>
      </c>
      <c r="F667" s="136">
        <f>BICHOLIM!E69</f>
        <v>0</v>
      </c>
      <c r="G667" s="136">
        <f>BICHOLIM!F69</f>
        <v>0</v>
      </c>
      <c r="H667" s="136">
        <f>BICHOLIM!G69</f>
        <v>0</v>
      </c>
      <c r="I667" s="136">
        <f>BICHOLIM!H69</f>
        <v>0</v>
      </c>
      <c r="J667" s="136">
        <f>BICHOLIM!I69</f>
        <v>0</v>
      </c>
      <c r="K667" s="136">
        <f>BICHOLIM!J69</f>
        <v>8947.19895905129</v>
      </c>
      <c r="L667" s="136">
        <f>BICHOLIM!K69</f>
        <v>49030.5199988138</v>
      </c>
      <c r="M667" s="136">
        <f>BICHOLIM!L69</f>
        <v>77882.97599818834</v>
      </c>
      <c r="N667" s="136">
        <f>BICHOLIM!M69</f>
        <v>115541.53599732564</v>
      </c>
      <c r="O667" s="136">
        <f>BICHOLIM!N69</f>
        <v>450</v>
      </c>
      <c r="P667" s="136">
        <f>BICHOLIM!O69</f>
        <v>3098</v>
      </c>
      <c r="Q667" s="136">
        <f>BICHOLIM!P69</f>
        <v>6027</v>
      </c>
      <c r="R667" s="136">
        <f>BICHOLIM!R69</f>
        <v>260977.2309533791</v>
      </c>
      <c r="T667" s="66">
        <v>0</v>
      </c>
      <c r="U667" s="66">
        <v>0</v>
      </c>
      <c r="V667" s="66">
        <v>0</v>
      </c>
      <c r="W667" s="66">
        <v>2075.15755848614</v>
      </c>
      <c r="X667" s="66">
        <v>372426.392278777</v>
      </c>
      <c r="Y667" s="66">
        <v>374500.549837263</v>
      </c>
    </row>
    <row r="668" spans="1:25" ht="18.75">
      <c r="A668" s="138"/>
      <c r="B668" s="138"/>
      <c r="C668" s="138"/>
      <c r="D668" s="141"/>
      <c r="E668" s="138"/>
      <c r="F668" s="138"/>
      <c r="G668" s="138"/>
      <c r="H668" s="138"/>
      <c r="I668" s="138"/>
      <c r="J668" s="138"/>
      <c r="K668" s="138"/>
      <c r="L668" s="138"/>
      <c r="M668" s="138"/>
      <c r="N668" s="138"/>
      <c r="O668" s="138"/>
      <c r="P668" s="138"/>
      <c r="Q668" s="138"/>
      <c r="R668" s="138"/>
      <c r="T668" s="67"/>
      <c r="U668" s="67"/>
      <c r="V668" s="67"/>
      <c r="W668" s="67"/>
      <c r="X668" s="67"/>
      <c r="Y668" s="67"/>
    </row>
    <row r="669" spans="1:25" ht="18.75">
      <c r="A669" s="138"/>
      <c r="B669" s="138"/>
      <c r="C669" s="138" t="s">
        <v>44</v>
      </c>
      <c r="D669" s="141"/>
      <c r="E669" s="138"/>
      <c r="F669" s="138"/>
      <c r="G669" s="138"/>
      <c r="H669" s="138"/>
      <c r="I669" s="138"/>
      <c r="J669" s="138"/>
      <c r="K669" s="138"/>
      <c r="L669" s="138"/>
      <c r="M669" s="138"/>
      <c r="N669" s="138"/>
      <c r="O669" s="138"/>
      <c r="P669" s="138"/>
      <c r="Q669" s="138"/>
      <c r="R669" s="138"/>
      <c r="T669" s="67"/>
      <c r="U669" s="67"/>
      <c r="V669" s="67"/>
      <c r="W669" s="67"/>
      <c r="X669" s="67"/>
      <c r="Y669" s="67"/>
    </row>
    <row r="670" spans="1:25" s="80" customFormat="1" ht="18.75">
      <c r="A670" s="138">
        <v>1</v>
      </c>
      <c r="B670" s="138">
        <v>8</v>
      </c>
      <c r="C670" s="138" t="s">
        <v>424</v>
      </c>
      <c r="D670" s="137" t="s">
        <v>508</v>
      </c>
      <c r="E670" s="136">
        <f>PERNEM!D60</f>
        <v>0</v>
      </c>
      <c r="F670" s="136">
        <f>PERNEM!E60</f>
        <v>0</v>
      </c>
      <c r="G670" s="136">
        <f>PERNEM!F60</f>
        <v>0</v>
      </c>
      <c r="H670" s="136">
        <f>PERNEM!G60</f>
        <v>0</v>
      </c>
      <c r="I670" s="136">
        <f>PERNEM!H60</f>
        <v>0</v>
      </c>
      <c r="J670" s="136">
        <f>PERNEM!I60</f>
        <v>0</v>
      </c>
      <c r="K670" s="136">
        <f>PERNEM!J60</f>
        <v>0</v>
      </c>
      <c r="L670" s="136">
        <f>PERNEM!K60</f>
        <v>6497.7442646758145</v>
      </c>
      <c r="M670" s="136">
        <f>PERNEM!L60</f>
        <v>11356.40942241397</v>
      </c>
      <c r="N670" s="136">
        <f>PERNEM!M60</f>
        <v>16764.22343308729</v>
      </c>
      <c r="O670" s="136">
        <f>PERNEM!N60</f>
        <v>232</v>
      </c>
      <c r="P670" s="136">
        <f>PERNEM!O60</f>
        <v>1437</v>
      </c>
      <c r="Q670" s="136">
        <f>PERNEM!P60</f>
        <v>2969</v>
      </c>
      <c r="R670" s="136">
        <f>PERNEM!R60</f>
        <v>39256.37712017707</v>
      </c>
      <c r="T670" s="81">
        <v>0</v>
      </c>
      <c r="U670" s="81">
        <v>0</v>
      </c>
      <c r="V670" s="81">
        <v>0</v>
      </c>
      <c r="W670" s="81">
        <v>0</v>
      </c>
      <c r="X670" s="81">
        <v>56481.2342604251</v>
      </c>
      <c r="Y670" s="81">
        <v>56481.2342604251</v>
      </c>
    </row>
    <row r="671" spans="1:25" ht="18.75">
      <c r="A671" s="138"/>
      <c r="B671" s="138"/>
      <c r="C671" s="138"/>
      <c r="D671" s="141"/>
      <c r="E671" s="138"/>
      <c r="F671" s="138"/>
      <c r="G671" s="138"/>
      <c r="H671" s="138"/>
      <c r="I671" s="138"/>
      <c r="J671" s="138"/>
      <c r="K671" s="138"/>
      <c r="L671" s="138"/>
      <c r="M671" s="138"/>
      <c r="N671" s="138"/>
      <c r="O671" s="138"/>
      <c r="P671" s="138"/>
      <c r="Q671" s="138"/>
      <c r="R671" s="138"/>
      <c r="T671" s="67"/>
      <c r="U671" s="67"/>
      <c r="V671" s="67"/>
      <c r="W671" s="67"/>
      <c r="X671" s="67"/>
      <c r="Y671" s="67"/>
    </row>
    <row r="672" spans="1:25" ht="18.75">
      <c r="A672" s="136">
        <v>8</v>
      </c>
      <c r="B672" s="138"/>
      <c r="C672" s="143" t="s">
        <v>17</v>
      </c>
      <c r="D672" s="144"/>
      <c r="E672" s="145">
        <f aca="true" t="shared" si="39" ref="E672:R672">E657+E660+E667+E670</f>
        <v>0</v>
      </c>
      <c r="F672" s="145">
        <f t="shared" si="39"/>
        <v>0</v>
      </c>
      <c r="G672" s="145">
        <f t="shared" si="39"/>
        <v>0</v>
      </c>
      <c r="H672" s="145">
        <f t="shared" si="39"/>
        <v>0</v>
      </c>
      <c r="I672" s="145">
        <f t="shared" si="39"/>
        <v>0</v>
      </c>
      <c r="J672" s="145">
        <f t="shared" si="39"/>
        <v>0</v>
      </c>
      <c r="K672" s="145">
        <f t="shared" si="39"/>
        <v>135804.719961391</v>
      </c>
      <c r="L672" s="145">
        <f t="shared" si="39"/>
        <v>82113.73531267386</v>
      </c>
      <c r="M672" s="145">
        <f t="shared" si="39"/>
        <v>129842.65029572009</v>
      </c>
      <c r="N672" s="145">
        <f t="shared" si="39"/>
        <v>192243.91234130107</v>
      </c>
      <c r="O672" s="145">
        <f t="shared" si="39"/>
        <v>810.9175</v>
      </c>
      <c r="P672" s="145">
        <f t="shared" si="39"/>
        <v>5329.28</v>
      </c>
      <c r="Q672" s="145">
        <f t="shared" si="39"/>
        <v>10642.450892857143</v>
      </c>
      <c r="R672" s="145">
        <f t="shared" si="39"/>
        <v>556787.6663039431</v>
      </c>
      <c r="T672" s="71">
        <v>0</v>
      </c>
      <c r="U672" s="71">
        <v>0</v>
      </c>
      <c r="V672" s="71">
        <v>0</v>
      </c>
      <c r="W672" s="71">
        <v>46196.9197962345</v>
      </c>
      <c r="X672" s="71">
        <v>1051649.88472186</v>
      </c>
      <c r="Y672" s="71">
        <v>1097846.8045181</v>
      </c>
    </row>
    <row r="673" spans="1:25" ht="18.75">
      <c r="A673" s="138"/>
      <c r="B673" s="138"/>
      <c r="C673" s="138"/>
      <c r="D673" s="141"/>
      <c r="E673" s="138"/>
      <c r="F673" s="138"/>
      <c r="G673" s="138"/>
      <c r="H673" s="138"/>
      <c r="I673" s="138"/>
      <c r="J673" s="138"/>
      <c r="K673" s="138"/>
      <c r="L673" s="138"/>
      <c r="M673" s="138"/>
      <c r="N673" s="138"/>
      <c r="O673" s="138"/>
      <c r="P673" s="138"/>
      <c r="Q673" s="138"/>
      <c r="R673" s="138"/>
      <c r="T673" s="67"/>
      <c r="U673" s="67"/>
      <c r="V673" s="67"/>
      <c r="W673" s="67"/>
      <c r="X673" s="67"/>
      <c r="Y673" s="67"/>
    </row>
    <row r="674" spans="1:25" ht="18.75">
      <c r="A674" s="138"/>
      <c r="B674" s="138"/>
      <c r="C674" s="143" t="s">
        <v>488</v>
      </c>
      <c r="D674" s="141"/>
      <c r="E674" s="138"/>
      <c r="F674" s="138"/>
      <c r="G674" s="138"/>
      <c r="H674" s="138"/>
      <c r="I674" s="138"/>
      <c r="J674" s="138"/>
      <c r="K674" s="138"/>
      <c r="L674" s="138"/>
      <c r="M674" s="138"/>
      <c r="N674" s="138"/>
      <c r="O674" s="138"/>
      <c r="P674" s="138"/>
      <c r="Q674" s="138"/>
      <c r="R674" s="138"/>
      <c r="T674" s="67"/>
      <c r="U674" s="67"/>
      <c r="V674" s="67"/>
      <c r="W674" s="67"/>
      <c r="X674" s="67"/>
      <c r="Y674" s="67"/>
    </row>
    <row r="675" spans="1:25" ht="18.75">
      <c r="A675" s="138"/>
      <c r="B675" s="138"/>
      <c r="C675" s="138" t="s">
        <v>41</v>
      </c>
      <c r="D675" s="141"/>
      <c r="E675" s="138"/>
      <c r="F675" s="138"/>
      <c r="G675" s="138"/>
      <c r="H675" s="138"/>
      <c r="I675" s="138"/>
      <c r="J675" s="138"/>
      <c r="K675" s="138"/>
      <c r="L675" s="138"/>
      <c r="M675" s="138"/>
      <c r="N675" s="138"/>
      <c r="O675" s="138"/>
      <c r="P675" s="138"/>
      <c r="Q675" s="138"/>
      <c r="R675" s="138"/>
      <c r="T675" s="67"/>
      <c r="U675" s="67"/>
      <c r="V675" s="67"/>
      <c r="W675" s="67"/>
      <c r="X675" s="67"/>
      <c r="Y675" s="67"/>
    </row>
    <row r="676" spans="1:25" ht="18.75">
      <c r="A676" s="138">
        <v>1</v>
      </c>
      <c r="B676" s="138">
        <v>1</v>
      </c>
      <c r="C676" s="138" t="s">
        <v>71</v>
      </c>
      <c r="D676" s="137" t="s">
        <v>507</v>
      </c>
      <c r="E676" s="136">
        <f>'TISWADI '!D210</f>
        <v>0</v>
      </c>
      <c r="F676" s="136">
        <f>'TISWADI '!E210</f>
        <v>0</v>
      </c>
      <c r="G676" s="136">
        <f>'TISWADI '!F210</f>
        <v>0</v>
      </c>
      <c r="H676" s="136">
        <f>'TISWADI '!G210</f>
        <v>0</v>
      </c>
      <c r="I676" s="136">
        <f>'TISWADI '!H210</f>
        <v>0</v>
      </c>
      <c r="J676" s="136">
        <f>'TISWADI '!I210</f>
        <v>0</v>
      </c>
      <c r="K676" s="136">
        <f>'TISWADI '!J210</f>
        <v>3310.4704675239796</v>
      </c>
      <c r="L676" s="136">
        <f>'TISWADI '!K210</f>
        <v>14539.799345132431</v>
      </c>
      <c r="M676" s="136">
        <f>'TISWADI '!L210</f>
        <v>22000.238999838624</v>
      </c>
      <c r="N676" s="136">
        <f>'TISWADI '!M210</f>
        <v>32780.6385235713</v>
      </c>
      <c r="O676" s="136">
        <f>'TISWADI '!N210</f>
        <v>44</v>
      </c>
      <c r="P676" s="136">
        <f>'TISWADI '!O210</f>
        <v>277.14</v>
      </c>
      <c r="Q676" s="136">
        <f>'TISWADI '!P210</f>
        <v>555</v>
      </c>
      <c r="R676" s="136">
        <f>'TISWADI '!S210</f>
        <v>73507.28733606634</v>
      </c>
      <c r="T676" s="66">
        <v>0</v>
      </c>
      <c r="U676" s="66">
        <v>0</v>
      </c>
      <c r="V676" s="66">
        <v>0</v>
      </c>
      <c r="W676" s="66">
        <v>767.809886006599</v>
      </c>
      <c r="X676" s="66">
        <v>110441.517134552</v>
      </c>
      <c r="Y676" s="66">
        <v>111210.327020558</v>
      </c>
    </row>
    <row r="677" spans="1:25" ht="18.75">
      <c r="A677" s="138"/>
      <c r="B677" s="138"/>
      <c r="C677" s="138"/>
      <c r="D677" s="141"/>
      <c r="E677" s="138"/>
      <c r="F677" s="138"/>
      <c r="G677" s="138"/>
      <c r="H677" s="138"/>
      <c r="I677" s="138"/>
      <c r="J677" s="138"/>
      <c r="K677" s="138"/>
      <c r="L677" s="138"/>
      <c r="M677" s="138"/>
      <c r="N677" s="138"/>
      <c r="O677" s="138"/>
      <c r="P677" s="138"/>
      <c r="Q677" s="138"/>
      <c r="R677" s="138"/>
      <c r="T677" s="67"/>
      <c r="U677" s="67"/>
      <c r="V677" s="67"/>
      <c r="W677" s="67"/>
      <c r="X677" s="67"/>
      <c r="Y677" s="67"/>
    </row>
    <row r="678" spans="1:25" ht="18.75">
      <c r="A678" s="138"/>
      <c r="B678" s="138"/>
      <c r="C678" s="138"/>
      <c r="D678" s="141"/>
      <c r="E678" s="138"/>
      <c r="F678" s="138"/>
      <c r="G678" s="138"/>
      <c r="H678" s="138"/>
      <c r="I678" s="138"/>
      <c r="J678" s="138"/>
      <c r="K678" s="138"/>
      <c r="L678" s="138"/>
      <c r="M678" s="138"/>
      <c r="N678" s="138"/>
      <c r="O678" s="138"/>
      <c r="P678" s="138"/>
      <c r="Q678" s="138"/>
      <c r="R678" s="138"/>
      <c r="T678" s="67"/>
      <c r="U678" s="67"/>
      <c r="V678" s="67"/>
      <c r="W678" s="67"/>
      <c r="X678" s="67"/>
      <c r="Y678" s="67"/>
    </row>
    <row r="679" spans="1:25" ht="18.75">
      <c r="A679" s="138"/>
      <c r="B679" s="138"/>
      <c r="C679" s="143" t="s">
        <v>489</v>
      </c>
      <c r="D679" s="141"/>
      <c r="E679" s="138"/>
      <c r="F679" s="138"/>
      <c r="G679" s="138"/>
      <c r="H679" s="138"/>
      <c r="I679" s="138"/>
      <c r="J679" s="138"/>
      <c r="K679" s="138"/>
      <c r="L679" s="138"/>
      <c r="M679" s="138"/>
      <c r="N679" s="138"/>
      <c r="O679" s="138"/>
      <c r="P679" s="138"/>
      <c r="Q679" s="138"/>
      <c r="R679" s="138"/>
      <c r="T679" s="67"/>
      <c r="U679" s="67"/>
      <c r="V679" s="67"/>
      <c r="W679" s="67"/>
      <c r="X679" s="67"/>
      <c r="Y679" s="67"/>
    </row>
    <row r="680" spans="1:25" ht="18.75">
      <c r="A680" s="138"/>
      <c r="B680" s="138"/>
      <c r="C680" s="138" t="s">
        <v>41</v>
      </c>
      <c r="D680" s="141"/>
      <c r="E680" s="138"/>
      <c r="F680" s="138"/>
      <c r="G680" s="138"/>
      <c r="H680" s="138"/>
      <c r="I680" s="138"/>
      <c r="J680" s="138"/>
      <c r="K680" s="138"/>
      <c r="L680" s="138"/>
      <c r="M680" s="138"/>
      <c r="N680" s="138"/>
      <c r="O680" s="138"/>
      <c r="P680" s="138"/>
      <c r="Q680" s="138"/>
      <c r="R680" s="138"/>
      <c r="T680" s="67"/>
      <c r="U680" s="67"/>
      <c r="V680" s="67"/>
      <c r="W680" s="67"/>
      <c r="X680" s="67"/>
      <c r="Y680" s="67"/>
    </row>
    <row r="681" spans="1:25" ht="18.75">
      <c r="A681" s="138"/>
      <c r="B681" s="138">
        <v>1</v>
      </c>
      <c r="C681" s="138" t="s">
        <v>149</v>
      </c>
      <c r="D681" s="137" t="s">
        <v>507</v>
      </c>
      <c r="E681" s="136">
        <f>'TISWADI '!D170</f>
        <v>0</v>
      </c>
      <c r="F681" s="136">
        <f>'TISWADI '!E170</f>
        <v>529.6704070427342</v>
      </c>
      <c r="G681" s="136">
        <f>'TISWADI '!F170</f>
        <v>529.6704070427342</v>
      </c>
      <c r="H681" s="136">
        <f>'TISWADI '!G170</f>
        <v>64.11482936792095</v>
      </c>
      <c r="I681" s="136">
        <f>'TISWADI '!H170</f>
        <v>40.05258324896203</v>
      </c>
      <c r="J681" s="136">
        <f>'TISWADI '!I170</f>
        <v>633.8378196596171</v>
      </c>
      <c r="K681" s="136">
        <f>'TISWADI '!J170</f>
        <v>0</v>
      </c>
      <c r="L681" s="136">
        <f>'TISWADI '!K170</f>
        <v>1022.830685118523</v>
      </c>
      <c r="M681" s="136">
        <f>'TISWADI '!L170</f>
        <v>1562.141409999199</v>
      </c>
      <c r="N681" s="136">
        <f>'TISWADI '!M170</f>
        <v>2306.018271903579</v>
      </c>
      <c r="O681" s="136">
        <f>'TISWADI '!N170</f>
        <v>44.84</v>
      </c>
      <c r="P681" s="136">
        <f>'TISWADI '!O170</f>
        <v>274</v>
      </c>
      <c r="Q681" s="136">
        <f>'TISWADI '!P170</f>
        <v>572</v>
      </c>
      <c r="R681" s="136">
        <f>'TISWADI '!S170</f>
        <v>6415.668186680918</v>
      </c>
      <c r="T681" s="66">
        <v>0</v>
      </c>
      <c r="U681" s="66">
        <v>579.33785958263</v>
      </c>
      <c r="V681" s="66">
        <v>579.33785958263</v>
      </c>
      <c r="W681" s="66">
        <v>0</v>
      </c>
      <c r="X681" s="66">
        <v>7769.22500475085</v>
      </c>
      <c r="Y681" s="66">
        <v>8347.56286433349</v>
      </c>
    </row>
    <row r="682" spans="1:25" ht="18.75">
      <c r="A682" s="138"/>
      <c r="B682" s="138">
        <v>2</v>
      </c>
      <c r="C682" s="138" t="s">
        <v>150</v>
      </c>
      <c r="D682" s="137" t="s">
        <v>507</v>
      </c>
      <c r="E682" s="136">
        <f>'TISWADI '!D171</f>
        <v>0</v>
      </c>
      <c r="F682" s="136">
        <f>'TISWADI '!E171</f>
        <v>0</v>
      </c>
      <c r="G682" s="136">
        <f>'TISWADI '!F171</f>
        <v>0</v>
      </c>
      <c r="H682" s="136">
        <f>'TISWADI '!G171</f>
        <v>0</v>
      </c>
      <c r="I682" s="136">
        <f>'TISWADI '!H171</f>
        <v>0</v>
      </c>
      <c r="J682" s="136">
        <f>'TISWADI '!I171</f>
        <v>0</v>
      </c>
      <c r="K682" s="136">
        <f>'TISWADI '!J171</f>
        <v>62749.24804442422</v>
      </c>
      <c r="L682" s="136">
        <f>'TISWADI '!K171</f>
        <v>16439.924732114818</v>
      </c>
      <c r="M682" s="136">
        <f>'TISWADI '!L171</f>
        <v>25108.248681775356</v>
      </c>
      <c r="N682" s="136">
        <f>'TISWADI '!M171</f>
        <v>37064.55757785886</v>
      </c>
      <c r="O682" s="136">
        <f>'TISWADI '!N171</f>
        <v>44.84</v>
      </c>
      <c r="P682" s="136">
        <f>'TISWADI '!O171</f>
        <v>274</v>
      </c>
      <c r="Q682" s="136">
        <f>'TISWADI '!P171</f>
        <v>572</v>
      </c>
      <c r="R682" s="136">
        <f>'TISWADI '!S171</f>
        <v>142252.81903617326</v>
      </c>
      <c r="T682" s="66">
        <v>0</v>
      </c>
      <c r="U682" s="66">
        <v>0</v>
      </c>
      <c r="V682" s="66">
        <v>0</v>
      </c>
      <c r="W682" s="66">
        <v>14553.6694740625</v>
      </c>
      <c r="X682" s="66">
        <v>124874.503828723</v>
      </c>
      <c r="Y682" s="66">
        <v>139429.173302786</v>
      </c>
    </row>
    <row r="683" spans="1:25" ht="18.75">
      <c r="A683" s="138"/>
      <c r="B683" s="138">
        <v>3</v>
      </c>
      <c r="C683" s="138" t="s">
        <v>151</v>
      </c>
      <c r="D683" s="137" t="s">
        <v>507</v>
      </c>
      <c r="E683" s="136">
        <f>'TISWADI '!D172</f>
        <v>0</v>
      </c>
      <c r="F683" s="136">
        <f>'TISWADI '!E172</f>
        <v>0</v>
      </c>
      <c r="G683" s="136">
        <f>'TISWADI '!F172</f>
        <v>0</v>
      </c>
      <c r="H683" s="136">
        <f>'TISWADI '!G172</f>
        <v>0</v>
      </c>
      <c r="I683" s="136">
        <f>'TISWADI '!H172</f>
        <v>0</v>
      </c>
      <c r="J683" s="136">
        <f>'TISWADI '!I172</f>
        <v>0</v>
      </c>
      <c r="K683" s="136">
        <f>'TISWADI '!J172</f>
        <v>0</v>
      </c>
      <c r="L683" s="136">
        <f>'TISWADI '!K172</f>
        <v>455.9233942361967</v>
      </c>
      <c r="M683" s="136">
        <f>'TISWADI '!L172</f>
        <v>696.319365742555</v>
      </c>
      <c r="N683" s="136">
        <f>'TISWADI '!M172</f>
        <v>1027.9000160961525</v>
      </c>
      <c r="O683" s="136">
        <f>'TISWADI '!N172</f>
        <v>44.84</v>
      </c>
      <c r="P683" s="136">
        <f>'TISWADI '!O172</f>
        <v>274</v>
      </c>
      <c r="Q683" s="136">
        <f>'TISWADI '!P172</f>
        <v>572</v>
      </c>
      <c r="R683" s="136">
        <f>'TISWADI '!S172</f>
        <v>3070.982776074904</v>
      </c>
      <c r="T683" s="66">
        <v>0</v>
      </c>
      <c r="U683" s="66">
        <v>0</v>
      </c>
      <c r="V683" s="66">
        <v>0</v>
      </c>
      <c r="W683" s="66">
        <v>0</v>
      </c>
      <c r="X683" s="66">
        <v>3463.10634427269</v>
      </c>
      <c r="Y683" s="66">
        <v>3463.10634427269</v>
      </c>
    </row>
    <row r="684" spans="1:25" ht="18.75">
      <c r="A684" s="138"/>
      <c r="B684" s="138"/>
      <c r="C684" s="138" t="s">
        <v>152</v>
      </c>
      <c r="D684" s="137" t="s">
        <v>507</v>
      </c>
      <c r="E684" s="136">
        <f>'TISWADI '!D173</f>
        <v>0</v>
      </c>
      <c r="F684" s="136">
        <f>'TISWADI '!E173</f>
        <v>0</v>
      </c>
      <c r="G684" s="136">
        <f>'TISWADI '!F173</f>
        <v>0</v>
      </c>
      <c r="H684" s="136">
        <f>'TISWADI '!G173</f>
        <v>0</v>
      </c>
      <c r="I684" s="136">
        <f>'TISWADI '!H173</f>
        <v>0</v>
      </c>
      <c r="J684" s="136">
        <f>'TISWADI '!I173</f>
        <v>0</v>
      </c>
      <c r="K684" s="136">
        <f>'TISWADI '!J173</f>
        <v>23397.82953046512</v>
      </c>
      <c r="L684" s="136">
        <f>'TISWADI '!K173</f>
        <v>2297.4053309221736</v>
      </c>
      <c r="M684" s="136">
        <f>'TISWADI '!L173</f>
        <v>3508.7645054084105</v>
      </c>
      <c r="N684" s="136">
        <f>'TISWADI '!M173</f>
        <v>5179.604746079082</v>
      </c>
      <c r="O684" s="136">
        <f>'TISWADI '!N173</f>
        <v>44.84</v>
      </c>
      <c r="P684" s="136">
        <f>'TISWADI '!O173</f>
        <v>274</v>
      </c>
      <c r="Q684" s="136">
        <f>'TISWADI '!P173</f>
        <v>572</v>
      </c>
      <c r="R684" s="136">
        <f>'TISWADI '!S173</f>
        <v>35274.44411287478</v>
      </c>
      <c r="T684" s="66">
        <v>0</v>
      </c>
      <c r="U684" s="66">
        <v>0</v>
      </c>
      <c r="V684" s="66">
        <v>0</v>
      </c>
      <c r="W684" s="66">
        <v>5426.74674214055</v>
      </c>
      <c r="X684" s="66">
        <v>17450.6486779678</v>
      </c>
      <c r="Y684" s="66">
        <v>22878.3954201084</v>
      </c>
    </row>
    <row r="685" spans="1:25" ht="18.75">
      <c r="A685" s="138"/>
      <c r="B685" s="138">
        <v>4</v>
      </c>
      <c r="C685" s="138" t="s">
        <v>153</v>
      </c>
      <c r="D685" s="137" t="s">
        <v>507</v>
      </c>
      <c r="E685" s="136">
        <f>'TISWADI '!D174</f>
        <v>239</v>
      </c>
      <c r="F685" s="136">
        <f>'TISWADI '!E174</f>
        <v>0</v>
      </c>
      <c r="G685" s="136">
        <f>'TISWADI '!F174</f>
        <v>239</v>
      </c>
      <c r="H685" s="136">
        <f>'TISWADI '!G174</f>
        <v>0</v>
      </c>
      <c r="I685" s="136">
        <f>'TISWADI '!H174</f>
        <v>0</v>
      </c>
      <c r="J685" s="136">
        <f>'TISWADI '!I174</f>
        <v>239</v>
      </c>
      <c r="K685" s="136">
        <f>'TISWADI '!J174</f>
        <v>18135.620822087883</v>
      </c>
      <c r="L685" s="136">
        <f>'TISWADI '!K174</f>
        <v>7463.377021847819</v>
      </c>
      <c r="M685" s="136">
        <f>'TISWADI '!L174</f>
        <v>11398.612178822123</v>
      </c>
      <c r="N685" s="136">
        <f>'TISWADI '!M174</f>
        <v>16826.52274016599</v>
      </c>
      <c r="O685" s="136">
        <f>'TISWADI '!N174</f>
        <v>44.84</v>
      </c>
      <c r="P685" s="136">
        <f>'TISWADI '!O174</f>
        <v>274</v>
      </c>
      <c r="Q685" s="136">
        <f>'TISWADI '!P174</f>
        <v>572</v>
      </c>
      <c r="R685" s="136">
        <f>'TISWADI '!S174</f>
        <v>54953.97276292382</v>
      </c>
      <c r="T685" s="66">
        <v>0</v>
      </c>
      <c r="U685" s="66">
        <v>0</v>
      </c>
      <c r="V685" s="66">
        <v>0</v>
      </c>
      <c r="W685" s="66">
        <v>4206.26285377528</v>
      </c>
      <c r="X685" s="66">
        <v>56690.3752709608</v>
      </c>
      <c r="Y685" s="66">
        <v>60895.6381247361</v>
      </c>
    </row>
    <row r="686" spans="1:25" ht="18.75">
      <c r="A686" s="138"/>
      <c r="B686" s="138">
        <v>5</v>
      </c>
      <c r="C686" s="138" t="s">
        <v>154</v>
      </c>
      <c r="D686" s="137" t="s">
        <v>507</v>
      </c>
      <c r="E686" s="136">
        <f>'TISWADI '!D175</f>
        <v>0</v>
      </c>
      <c r="F686" s="136">
        <f>'TISWADI '!E175</f>
        <v>0</v>
      </c>
      <c r="G686" s="136">
        <f>'TISWADI '!F175</f>
        <v>0</v>
      </c>
      <c r="H686" s="136">
        <f>'TISWADI '!G175</f>
        <v>0</v>
      </c>
      <c r="I686" s="136">
        <f>'TISWADI '!H175</f>
        <v>0</v>
      </c>
      <c r="J686" s="136">
        <f>'TISWADI '!I175</f>
        <v>0</v>
      </c>
      <c r="K686" s="136">
        <f>'TISWADI '!J175</f>
        <v>1065.1078895511946</v>
      </c>
      <c r="L686" s="136">
        <f>'TISWADI '!K175</f>
        <v>1981.4685937797067</v>
      </c>
      <c r="M686" s="136">
        <f>'TISWADI '!L175</f>
        <v>3026.242943227188</v>
      </c>
      <c r="N686" s="136">
        <f>'TISWADI '!M175</f>
        <v>4467.311011430611</v>
      </c>
      <c r="O686" s="136">
        <f>'TISWADI '!N175</f>
        <v>44.84</v>
      </c>
      <c r="P686" s="136">
        <f>'TISWADI '!O175</f>
        <v>274</v>
      </c>
      <c r="Q686" s="136">
        <f>'TISWADI '!P175</f>
        <v>572</v>
      </c>
      <c r="R686" s="136">
        <f>'TISWADI '!S175</f>
        <v>11430.9704379887</v>
      </c>
      <c r="T686" s="66">
        <v>0</v>
      </c>
      <c r="U686" s="66">
        <v>0</v>
      </c>
      <c r="V686" s="66">
        <v>0</v>
      </c>
      <c r="W686" s="66">
        <v>247.034485062993</v>
      </c>
      <c r="X686" s="66">
        <v>15050.8540356686</v>
      </c>
      <c r="Y686" s="66">
        <v>15297.8885207316</v>
      </c>
    </row>
    <row r="687" spans="1:25" ht="18.75">
      <c r="A687" s="138"/>
      <c r="B687" s="138">
        <v>6</v>
      </c>
      <c r="C687" s="138" t="s">
        <v>155</v>
      </c>
      <c r="D687" s="137" t="s">
        <v>507</v>
      </c>
      <c r="E687" s="136">
        <f>'TISWADI '!D176</f>
        <v>0</v>
      </c>
      <c r="F687" s="136">
        <f>'TISWADI '!E176</f>
        <v>0</v>
      </c>
      <c r="G687" s="136">
        <f>'TISWADI '!F176</f>
        <v>0</v>
      </c>
      <c r="H687" s="136">
        <f>'TISWADI '!G176</f>
        <v>0</v>
      </c>
      <c r="I687" s="136">
        <f>'TISWADI '!H176</f>
        <v>0</v>
      </c>
      <c r="J687" s="136">
        <f>'TISWADI '!I176</f>
        <v>0</v>
      </c>
      <c r="K687" s="136">
        <f>'TISWADI '!J176</f>
        <v>0</v>
      </c>
      <c r="L687" s="136">
        <f>'TISWADI '!K176</f>
        <v>0</v>
      </c>
      <c r="M687" s="136">
        <f>'TISWADI '!L176</f>
        <v>0</v>
      </c>
      <c r="N687" s="136">
        <f>'TISWADI '!M176</f>
        <v>0</v>
      </c>
      <c r="O687" s="136">
        <f>'TISWADI '!N176</f>
        <v>44.84</v>
      </c>
      <c r="P687" s="136">
        <f>'TISWADI '!O176</f>
        <v>274</v>
      </c>
      <c r="Q687" s="136">
        <f>'TISWADI '!P176</f>
        <v>572</v>
      </c>
      <c r="R687" s="136">
        <f>'TISWADI '!S176</f>
        <v>890.84</v>
      </c>
      <c r="T687" s="66">
        <v>0</v>
      </c>
      <c r="U687" s="66">
        <v>0</v>
      </c>
      <c r="V687" s="66">
        <v>0</v>
      </c>
      <c r="W687" s="66">
        <v>0</v>
      </c>
      <c r="X687" s="66">
        <v>0</v>
      </c>
      <c r="Y687" s="66">
        <v>0</v>
      </c>
    </row>
    <row r="688" spans="1:25" ht="18.75">
      <c r="A688" s="138"/>
      <c r="B688" s="138">
        <v>7</v>
      </c>
      <c r="C688" s="138" t="s">
        <v>156</v>
      </c>
      <c r="D688" s="137" t="s">
        <v>507</v>
      </c>
      <c r="E688" s="136">
        <f>'TISWADI '!D177</f>
        <v>0</v>
      </c>
      <c r="F688" s="136">
        <f>'TISWADI '!E177</f>
        <v>901.4436195745325</v>
      </c>
      <c r="G688" s="136">
        <f>'TISWADI '!F177</f>
        <v>901.4436195745325</v>
      </c>
      <c r="H688" s="136">
        <f>'TISWADI '!G177</f>
        <v>109.11673200039507</v>
      </c>
      <c r="I688" s="136">
        <f>'TISWADI '!H177</f>
        <v>92.20321409116916</v>
      </c>
      <c r="J688" s="136">
        <f>'TISWADI '!I177</f>
        <v>1102.7635656660968</v>
      </c>
      <c r="K688" s="136">
        <f>'TISWADI '!J177</f>
        <v>0</v>
      </c>
      <c r="L688" s="136">
        <f>'TISWADI '!K177</f>
        <v>2010.4713542273041</v>
      </c>
      <c r="M688" s="136">
        <f>'TISWADI '!L177</f>
        <v>3070.5380682744276</v>
      </c>
      <c r="N688" s="136">
        <f>'TISWADI '!M177</f>
        <v>4532.699053167013</v>
      </c>
      <c r="O688" s="136">
        <f>'TISWADI '!N177</f>
        <v>44.84</v>
      </c>
      <c r="P688" s="136">
        <f>'TISWADI '!O177</f>
        <v>274</v>
      </c>
      <c r="Q688" s="136">
        <f>'TISWADI '!P177</f>
        <v>572</v>
      </c>
      <c r="R688" s="136">
        <f>'TISWADI '!S177</f>
        <v>11607.31204133484</v>
      </c>
      <c r="T688" s="66">
        <v>0</v>
      </c>
      <c r="U688" s="66">
        <v>984.654080735496</v>
      </c>
      <c r="V688" s="66">
        <v>984.654080735496</v>
      </c>
      <c r="W688" s="66">
        <v>0</v>
      </c>
      <c r="X688" s="66">
        <v>15271.1534214366</v>
      </c>
      <c r="Y688" s="66">
        <v>16255.8075021721</v>
      </c>
    </row>
    <row r="689" spans="1:25" ht="18.75">
      <c r="A689" s="138">
        <v>7</v>
      </c>
      <c r="B689" s="138"/>
      <c r="C689" s="138" t="s">
        <v>78</v>
      </c>
      <c r="D689" s="137"/>
      <c r="E689" s="136">
        <f>'TISWADI '!D178</f>
        <v>239</v>
      </c>
      <c r="F689" s="136">
        <f>'TISWADI '!E178</f>
        <v>1431.1140266172665</v>
      </c>
      <c r="G689" s="136">
        <f>'TISWADI '!F178</f>
        <v>1670.1140266172665</v>
      </c>
      <c r="H689" s="136">
        <f>'TISWADI '!G178</f>
        <v>173.23156136831602</v>
      </c>
      <c r="I689" s="136">
        <f>'TISWADI '!H178</f>
        <v>132.25579734013118</v>
      </c>
      <c r="J689" s="136">
        <f>'TISWADI '!I178</f>
        <v>1975.601385325714</v>
      </c>
      <c r="K689" s="136">
        <f>'TISWADI '!J178</f>
        <v>105347.80628652842</v>
      </c>
      <c r="L689" s="136">
        <f>'TISWADI '!K178</f>
        <v>31671.401112246545</v>
      </c>
      <c r="M689" s="136">
        <f>'TISWADI '!L178</f>
        <v>48370.86715324926</v>
      </c>
      <c r="N689" s="136">
        <f>'TISWADI '!M178</f>
        <v>71404.61341670128</v>
      </c>
      <c r="O689" s="136">
        <f>'TISWADI '!N178</f>
        <v>358.72</v>
      </c>
      <c r="P689" s="136">
        <f>'TISWADI '!O178</f>
        <v>2192</v>
      </c>
      <c r="Q689" s="136">
        <f>'TISWADI '!P178</f>
        <v>4576</v>
      </c>
      <c r="R689" s="136">
        <f>'TISWADI '!S178</f>
        <v>265897.0093540512</v>
      </c>
      <c r="T689" s="66">
        <v>0</v>
      </c>
      <c r="U689" s="66">
        <v>1563.99194031813</v>
      </c>
      <c r="V689" s="66">
        <v>1563.99194031813</v>
      </c>
      <c r="W689" s="66">
        <v>24433.7135550413</v>
      </c>
      <c r="X689" s="66">
        <v>240569.866583781</v>
      </c>
      <c r="Y689" s="66">
        <v>266567.57207914</v>
      </c>
    </row>
    <row r="690" spans="1:25" ht="18.75">
      <c r="A690" s="138"/>
      <c r="B690" s="138"/>
      <c r="C690" s="138"/>
      <c r="D690" s="141"/>
      <c r="E690" s="138"/>
      <c r="F690" s="138"/>
      <c r="G690" s="138"/>
      <c r="H690" s="138"/>
      <c r="I690" s="138"/>
      <c r="J690" s="138"/>
      <c r="K690" s="138"/>
      <c r="L690" s="138"/>
      <c r="M690" s="138"/>
      <c r="N690" s="138"/>
      <c r="O690" s="138"/>
      <c r="P690" s="138"/>
      <c r="Q690" s="138"/>
      <c r="R690" s="138"/>
      <c r="T690" s="67"/>
      <c r="U690" s="67"/>
      <c r="V690" s="67"/>
      <c r="W690" s="67"/>
      <c r="X690" s="67"/>
      <c r="Y690" s="67"/>
    </row>
    <row r="691" spans="1:25" ht="18.75">
      <c r="A691" s="138"/>
      <c r="B691" s="138"/>
      <c r="C691" s="138" t="s">
        <v>42</v>
      </c>
      <c r="D691" s="141"/>
      <c r="E691" s="138"/>
      <c r="F691" s="138"/>
      <c r="G691" s="138"/>
      <c r="H691" s="138"/>
      <c r="I691" s="138"/>
      <c r="J691" s="138"/>
      <c r="K691" s="138"/>
      <c r="L691" s="138"/>
      <c r="M691" s="138"/>
      <c r="N691" s="138"/>
      <c r="O691" s="138"/>
      <c r="P691" s="138"/>
      <c r="Q691" s="138"/>
      <c r="R691" s="138"/>
      <c r="T691" s="67"/>
      <c r="U691" s="67"/>
      <c r="V691" s="67"/>
      <c r="W691" s="67"/>
      <c r="X691" s="67"/>
      <c r="Y691" s="67"/>
    </row>
    <row r="692" spans="1:25" ht="18.75">
      <c r="A692" s="138"/>
      <c r="B692" s="138">
        <v>8</v>
      </c>
      <c r="C692" s="138" t="s">
        <v>297</v>
      </c>
      <c r="D692" s="137" t="s">
        <v>507</v>
      </c>
      <c r="E692" s="136">
        <f>BARDEZ!D152</f>
        <v>0</v>
      </c>
      <c r="F692" s="136">
        <f>BARDEZ!E152</f>
        <v>0</v>
      </c>
      <c r="G692" s="136">
        <f>BARDEZ!F152</f>
        <v>0</v>
      </c>
      <c r="H692" s="136">
        <f>BARDEZ!G152</f>
        <v>0</v>
      </c>
      <c r="I692" s="136">
        <f>BARDEZ!H152</f>
        <v>0</v>
      </c>
      <c r="J692" s="136">
        <f>BARDEZ!I152</f>
        <v>0</v>
      </c>
      <c r="K692" s="136">
        <f>BARDEZ!J152</f>
        <v>742.6968527140781</v>
      </c>
      <c r="L692" s="136">
        <f>BARDEZ!K152</f>
        <v>337.59213161000827</v>
      </c>
      <c r="M692" s="136">
        <f>BARDEZ!L152</f>
        <v>515.5952555498308</v>
      </c>
      <c r="N692" s="136">
        <f>BARDEZ!M152</f>
        <v>761.1168058116549</v>
      </c>
      <c r="O692" s="136">
        <f>BARDEZ!N152</f>
        <v>39.2375</v>
      </c>
      <c r="P692" s="136">
        <f>BARDEZ!O152</f>
        <v>240</v>
      </c>
      <c r="Q692" s="136">
        <f>BARDEZ!P152</f>
        <v>501.09375</v>
      </c>
      <c r="R692" s="136">
        <f>BARDEZ!R152</f>
        <v>3137.3322956855723</v>
      </c>
      <c r="T692" s="66">
        <v>0</v>
      </c>
      <c r="U692" s="66">
        <v>0</v>
      </c>
      <c r="V692" s="66">
        <v>0</v>
      </c>
      <c r="W692" s="66">
        <v>172.256478773655</v>
      </c>
      <c r="X692" s="66">
        <v>2564.28485033932</v>
      </c>
      <c r="Y692" s="66">
        <v>2735.54132911297</v>
      </c>
    </row>
    <row r="693" spans="1:25" ht="18.75">
      <c r="A693" s="138"/>
      <c r="B693" s="138">
        <v>9</v>
      </c>
      <c r="C693" s="138" t="s">
        <v>298</v>
      </c>
      <c r="D693" s="137" t="s">
        <v>507</v>
      </c>
      <c r="E693" s="136">
        <f>BARDEZ!D153</f>
        <v>0</v>
      </c>
      <c r="F693" s="136">
        <f>BARDEZ!E153</f>
        <v>2107.778279737413</v>
      </c>
      <c r="G693" s="136">
        <f>BARDEZ!F153</f>
        <v>2107.778279737413</v>
      </c>
      <c r="H693" s="136">
        <f>BARDEZ!G153</f>
        <v>255.13950364961772</v>
      </c>
      <c r="I693" s="136">
        <f>BARDEZ!H153</f>
        <v>238.97414114750157</v>
      </c>
      <c r="J693" s="136">
        <f>BARDEZ!I153</f>
        <v>2601.8919245345323</v>
      </c>
      <c r="K693" s="136">
        <f>BARDEZ!J153</f>
        <v>7052.741430811974</v>
      </c>
      <c r="L693" s="136">
        <f>BARDEZ!K153</f>
        <v>3267.64434376239</v>
      </c>
      <c r="M693" s="136">
        <f>BARDEZ!L153</f>
        <v>4990.584088655285</v>
      </c>
      <c r="N693" s="136">
        <f>BARDEZ!M153</f>
        <v>7367.052702300659</v>
      </c>
      <c r="O693" s="136">
        <f>BARDEZ!N153</f>
        <v>39.2375</v>
      </c>
      <c r="P693" s="136">
        <f>BARDEZ!O153</f>
        <v>240</v>
      </c>
      <c r="Q693" s="136">
        <f>BARDEZ!P153</f>
        <v>501.09375</v>
      </c>
      <c r="R693" s="136">
        <f>BARDEZ!R153</f>
        <v>26060.245740064838</v>
      </c>
      <c r="T693" s="66">
        <v>0</v>
      </c>
      <c r="U693" s="66">
        <v>2368.01596597463</v>
      </c>
      <c r="V693" s="66">
        <v>2368.01596597463</v>
      </c>
      <c r="W693" s="66">
        <v>1635.76888757928</v>
      </c>
      <c r="X693" s="66">
        <v>24820.3974631927</v>
      </c>
      <c r="Y693" s="66">
        <v>28824.1823167466</v>
      </c>
    </row>
    <row r="694" spans="1:25" ht="18.75">
      <c r="A694" s="138"/>
      <c r="B694" s="138">
        <v>10</v>
      </c>
      <c r="C694" s="138" t="s">
        <v>299</v>
      </c>
      <c r="D694" s="137" t="s">
        <v>507</v>
      </c>
      <c r="E694" s="136">
        <f>BARDEZ!D154</f>
        <v>0</v>
      </c>
      <c r="F694" s="136">
        <f>BARDEZ!E154</f>
        <v>723.5071490447477</v>
      </c>
      <c r="G694" s="136">
        <f>BARDEZ!F154</f>
        <v>723.5071490447477</v>
      </c>
      <c r="H694" s="136">
        <f>BARDEZ!G154</f>
        <v>87.57811799693837</v>
      </c>
      <c r="I694" s="136">
        <f>BARDEZ!H154</f>
        <v>82.02926333342131</v>
      </c>
      <c r="J694" s="136">
        <f>BARDEZ!I154</f>
        <v>893.1145303751074</v>
      </c>
      <c r="K694" s="136">
        <f>BARDEZ!J154</f>
        <v>2222.333218198706</v>
      </c>
      <c r="L694" s="136">
        <f>BARDEZ!K154</f>
        <v>898.3121669301821</v>
      </c>
      <c r="M694" s="136">
        <f>BARDEZ!L154</f>
        <v>1371.9676731297325</v>
      </c>
      <c r="N694" s="136">
        <f>BARDEZ!M154</f>
        <v>2025.2856127153195</v>
      </c>
      <c r="O694" s="136">
        <f>BARDEZ!N154</f>
        <v>39.2375</v>
      </c>
      <c r="P694" s="136">
        <f>BARDEZ!O154</f>
        <v>240</v>
      </c>
      <c r="Q694" s="136">
        <f>BARDEZ!P154</f>
        <v>501.09375</v>
      </c>
      <c r="R694" s="136">
        <f>BARDEZ!R154</f>
        <v>8191.344451349048</v>
      </c>
      <c r="T694" s="66">
        <v>0</v>
      </c>
      <c r="U694" s="66">
        <v>812.835247855476</v>
      </c>
      <c r="V694" s="66">
        <v>812.835247855476</v>
      </c>
      <c r="W694" s="66">
        <v>515.434114780082</v>
      </c>
      <c r="X694" s="66">
        <v>6823.40630852032</v>
      </c>
      <c r="Y694" s="66">
        <v>8150.67567115587</v>
      </c>
    </row>
    <row r="695" spans="1:25" ht="18.75">
      <c r="A695" s="138"/>
      <c r="B695" s="138">
        <v>11</v>
      </c>
      <c r="C695" s="138" t="s">
        <v>300</v>
      </c>
      <c r="D695" s="137" t="s">
        <v>507</v>
      </c>
      <c r="E695" s="136">
        <f>BARDEZ!D155</f>
        <v>0</v>
      </c>
      <c r="F695" s="136">
        <f>BARDEZ!E155</f>
        <v>327.4409048522301</v>
      </c>
      <c r="G695" s="136">
        <f>BARDEZ!F155</f>
        <v>327.4409048522301</v>
      </c>
      <c r="H695" s="136">
        <f>BARDEZ!G155</f>
        <v>39.6356252181266</v>
      </c>
      <c r="I695" s="136">
        <f>BARDEZ!H155</f>
        <v>37.12435495035599</v>
      </c>
      <c r="J695" s="136">
        <f>BARDEZ!I155</f>
        <v>404.2008850207127</v>
      </c>
      <c r="K695" s="136">
        <f>BARDEZ!J155</f>
        <v>0</v>
      </c>
      <c r="L695" s="136">
        <f>BARDEZ!K155</f>
        <v>377.03588581873686</v>
      </c>
      <c r="M695" s="136">
        <f>BARDEZ!L155</f>
        <v>575.8366256140708</v>
      </c>
      <c r="N695" s="136">
        <f>BARDEZ!M155</f>
        <v>850.0445425731522</v>
      </c>
      <c r="O695" s="136">
        <f>BARDEZ!N155</f>
        <v>39.2375</v>
      </c>
      <c r="P695" s="136">
        <f>BARDEZ!O155</f>
        <v>240</v>
      </c>
      <c r="Q695" s="136">
        <f>BARDEZ!P155</f>
        <v>501.09375</v>
      </c>
      <c r="R695" s="136">
        <f>BARDEZ!R155</f>
        <v>2987.4491890266727</v>
      </c>
      <c r="T695" s="66">
        <v>0</v>
      </c>
      <c r="U695" s="66">
        <v>367.868526807221</v>
      </c>
      <c r="V695" s="66">
        <v>367.868526807221</v>
      </c>
      <c r="W695" s="66">
        <v>0</v>
      </c>
      <c r="X695" s="66">
        <v>2863.89201498377</v>
      </c>
      <c r="Y695" s="66">
        <v>3231.76054179099</v>
      </c>
    </row>
    <row r="696" spans="1:25" ht="18.75">
      <c r="A696" s="138"/>
      <c r="B696" s="138">
        <v>12</v>
      </c>
      <c r="C696" s="138" t="s">
        <v>301</v>
      </c>
      <c r="D696" s="137" t="s">
        <v>508</v>
      </c>
      <c r="E696" s="136">
        <f>BARDEZ!D156</f>
        <v>0</v>
      </c>
      <c r="F696" s="136">
        <f>BARDEZ!E156</f>
        <v>2362.672397287045</v>
      </c>
      <c r="G696" s="136">
        <f>BARDEZ!F156</f>
        <v>2362.672397287045</v>
      </c>
      <c r="H696" s="136">
        <f>BARDEZ!G156</f>
        <v>285.99358316073324</v>
      </c>
      <c r="I696" s="136">
        <f>BARDEZ!H156</f>
        <v>267.87333961184964</v>
      </c>
      <c r="J696" s="136">
        <f>BARDEZ!I156</f>
        <v>2916.539320059628</v>
      </c>
      <c r="K696" s="136">
        <f>BARDEZ!J156</f>
        <v>2976.5447507998238</v>
      </c>
      <c r="L696" s="136">
        <f>BARDEZ!K156</f>
        <v>885.1642488606038</v>
      </c>
      <c r="M696" s="136">
        <f>BARDEZ!L156</f>
        <v>1351.8872164416493</v>
      </c>
      <c r="N696" s="136">
        <f>BARDEZ!M156</f>
        <v>1995.643033794816</v>
      </c>
      <c r="O696" s="136">
        <f>BARDEZ!N156</f>
        <v>39.2375</v>
      </c>
      <c r="P696" s="136">
        <f>BARDEZ!O156</f>
        <v>240</v>
      </c>
      <c r="Q696" s="136">
        <f>BARDEZ!P156</f>
        <v>501.09375</v>
      </c>
      <c r="R696" s="136">
        <f>BARDEZ!R156</f>
        <v>10906.10981995652</v>
      </c>
      <c r="T696" s="66">
        <v>0</v>
      </c>
      <c r="U696" s="66">
        <v>2654.38068744132</v>
      </c>
      <c r="V696" s="66">
        <v>2654.38068744132</v>
      </c>
      <c r="W696" s="66">
        <v>690.361236635499</v>
      </c>
      <c r="X696" s="66">
        <v>6723.53725363882</v>
      </c>
      <c r="Y696" s="66">
        <v>10068.2791777156</v>
      </c>
    </row>
    <row r="697" spans="1:25" ht="18.75">
      <c r="A697" s="138"/>
      <c r="B697" s="138">
        <v>13</v>
      </c>
      <c r="C697" s="138" t="s">
        <v>302</v>
      </c>
      <c r="D697" s="137" t="s">
        <v>508</v>
      </c>
      <c r="E697" s="136">
        <f>BARDEZ!D157</f>
        <v>0</v>
      </c>
      <c r="F697" s="136">
        <f>BARDEZ!E157</f>
        <v>2341.1044334943854</v>
      </c>
      <c r="G697" s="136">
        <f>BARDEZ!F157</f>
        <v>2341.1044334943854</v>
      </c>
      <c r="H697" s="136">
        <f>BARDEZ!G157</f>
        <v>283.38285335594674</v>
      </c>
      <c r="I697" s="136">
        <f>BARDEZ!H157</f>
        <v>265.4280228187127</v>
      </c>
      <c r="J697" s="136">
        <f>BARDEZ!I157</f>
        <v>2889.9153096690447</v>
      </c>
      <c r="K697" s="136">
        <f>BARDEZ!J157</f>
        <v>1992.0396204579056</v>
      </c>
      <c r="L697" s="136">
        <f>BARDEZ!K157</f>
        <v>559.1732214296346</v>
      </c>
      <c r="M697" s="136">
        <f>BARDEZ!L157</f>
        <v>854.0100109107145</v>
      </c>
      <c r="N697" s="136">
        <f>BARDEZ!M157</f>
        <v>1260.6814446777214</v>
      </c>
      <c r="O697" s="136">
        <f>BARDEZ!N157</f>
        <v>39.2375</v>
      </c>
      <c r="P697" s="136">
        <f>BARDEZ!O157</f>
        <v>240</v>
      </c>
      <c r="Q697" s="136">
        <f>BARDEZ!P157</f>
        <v>501.09375</v>
      </c>
      <c r="R697" s="136">
        <f>BARDEZ!R157</f>
        <v>8336.150857145021</v>
      </c>
      <c r="T697" s="66">
        <v>0</v>
      </c>
      <c r="U697" s="66">
        <v>2630.14982639414</v>
      </c>
      <c r="V697" s="66">
        <v>2630.14982639414</v>
      </c>
      <c r="W697" s="66">
        <v>462.02125314484</v>
      </c>
      <c r="X697" s="66">
        <v>4247.3721576067</v>
      </c>
      <c r="Y697" s="66">
        <v>7338.54323714568</v>
      </c>
    </row>
    <row r="698" spans="1:25" ht="18.75">
      <c r="A698" s="138"/>
      <c r="B698" s="138">
        <v>14</v>
      </c>
      <c r="C698" s="138" t="s">
        <v>303</v>
      </c>
      <c r="D698" s="137" t="s">
        <v>508</v>
      </c>
      <c r="E698" s="136">
        <f>BARDEZ!D158</f>
        <v>0</v>
      </c>
      <c r="F698" s="136">
        <f>BARDEZ!E158</f>
        <v>0</v>
      </c>
      <c r="G698" s="136">
        <f>BARDEZ!F158</f>
        <v>0</v>
      </c>
      <c r="H698" s="136">
        <f>BARDEZ!G158</f>
        <v>0</v>
      </c>
      <c r="I698" s="136">
        <f>BARDEZ!H158</f>
        <v>0</v>
      </c>
      <c r="J698" s="136">
        <f>BARDEZ!I158</f>
        <v>0</v>
      </c>
      <c r="K698" s="136">
        <f>BARDEZ!J158</f>
        <v>0</v>
      </c>
      <c r="L698" s="136">
        <f>BARDEZ!K158</f>
        <v>514.3156186040205</v>
      </c>
      <c r="M698" s="136">
        <f>BARDEZ!L158</f>
        <v>785.5002175043222</v>
      </c>
      <c r="N698" s="136">
        <f>BARDEZ!M158</f>
        <v>1159.547940125428</v>
      </c>
      <c r="O698" s="136">
        <f>BARDEZ!N158</f>
        <v>39.2375</v>
      </c>
      <c r="P698" s="136">
        <f>BARDEZ!O158</f>
        <v>240</v>
      </c>
      <c r="Q698" s="136">
        <f>BARDEZ!P158</f>
        <v>501.09375</v>
      </c>
      <c r="R698" s="136">
        <f>BARDEZ!R158</f>
        <v>3239.6950262337714</v>
      </c>
      <c r="T698" s="66">
        <v>0</v>
      </c>
      <c r="U698" s="66">
        <v>0</v>
      </c>
      <c r="V698" s="66">
        <v>0</v>
      </c>
      <c r="W698" s="66">
        <v>0</v>
      </c>
      <c r="X698" s="66">
        <v>3906.64244095222</v>
      </c>
      <c r="Y698" s="66">
        <v>3906.64244095222</v>
      </c>
    </row>
    <row r="699" spans="1:25" ht="18.75">
      <c r="A699" s="138">
        <v>7</v>
      </c>
      <c r="B699" s="138"/>
      <c r="C699" s="138" t="s">
        <v>78</v>
      </c>
      <c r="D699" s="137"/>
      <c r="E699" s="136">
        <f>BARDEZ!D159</f>
        <v>0</v>
      </c>
      <c r="F699" s="136">
        <f>BARDEZ!E159</f>
        <v>7862.503164415821</v>
      </c>
      <c r="G699" s="136">
        <f>BARDEZ!F159</f>
        <v>7862.503164415821</v>
      </c>
      <c r="H699" s="136">
        <f>BARDEZ!G159</f>
        <v>951.7296833813626</v>
      </c>
      <c r="I699" s="136">
        <f>BARDEZ!H159</f>
        <v>891.4291218618412</v>
      </c>
      <c r="J699" s="136">
        <f>BARDEZ!I159</f>
        <v>9705.661969659024</v>
      </c>
      <c r="K699" s="136">
        <f>BARDEZ!J159</f>
        <v>14986.355872982487</v>
      </c>
      <c r="L699" s="136">
        <f>BARDEZ!K159</f>
        <v>6839.237617015576</v>
      </c>
      <c r="M699" s="136">
        <f>BARDEZ!L159</f>
        <v>10445.381087805607</v>
      </c>
      <c r="N699" s="136">
        <f>BARDEZ!M159</f>
        <v>15419.37208199875</v>
      </c>
      <c r="O699" s="136">
        <f>BARDEZ!N159</f>
        <v>274.6625</v>
      </c>
      <c r="P699" s="136">
        <f>BARDEZ!O159</f>
        <v>1680</v>
      </c>
      <c r="Q699" s="136">
        <f>BARDEZ!P159</f>
        <v>3507.65625</v>
      </c>
      <c r="R699" s="136">
        <f>BARDEZ!R159</f>
        <v>62858.32737946144</v>
      </c>
      <c r="T699" s="66">
        <v>0</v>
      </c>
      <c r="U699" s="66">
        <v>8833.25025447279</v>
      </c>
      <c r="V699" s="66">
        <v>8833.25025447279</v>
      </c>
      <c r="W699" s="66">
        <v>3474.84197091335</v>
      </c>
      <c r="X699" s="66">
        <v>51948.5324892339</v>
      </c>
      <c r="Y699" s="66">
        <v>64256.62471462</v>
      </c>
    </row>
    <row r="700" spans="1:25" ht="18.75">
      <c r="A700" s="138"/>
      <c r="B700" s="138"/>
      <c r="C700" s="138"/>
      <c r="D700" s="141"/>
      <c r="E700" s="138"/>
      <c r="F700" s="138"/>
      <c r="G700" s="138"/>
      <c r="H700" s="138"/>
      <c r="I700" s="138"/>
      <c r="J700" s="138"/>
      <c r="K700" s="138"/>
      <c r="L700" s="138"/>
      <c r="M700" s="138"/>
      <c r="N700" s="138"/>
      <c r="O700" s="138"/>
      <c r="P700" s="138"/>
      <c r="Q700" s="138"/>
      <c r="R700" s="138"/>
      <c r="T700" s="67"/>
      <c r="U700" s="67"/>
      <c r="V700" s="67"/>
      <c r="W700" s="67"/>
      <c r="X700" s="67"/>
      <c r="Y700" s="67"/>
    </row>
    <row r="701" spans="1:25" ht="18.75">
      <c r="A701" s="138"/>
      <c r="B701" s="138"/>
      <c r="C701" s="138"/>
      <c r="D701" s="141"/>
      <c r="E701" s="138"/>
      <c r="F701" s="138"/>
      <c r="G701" s="138"/>
      <c r="H701" s="138"/>
      <c r="I701" s="138"/>
      <c r="J701" s="138"/>
      <c r="K701" s="138"/>
      <c r="L701" s="138"/>
      <c r="M701" s="138"/>
      <c r="N701" s="138"/>
      <c r="O701" s="138"/>
      <c r="P701" s="138"/>
      <c r="Q701" s="138"/>
      <c r="R701" s="138"/>
      <c r="T701" s="67"/>
      <c r="U701" s="67"/>
      <c r="V701" s="67"/>
      <c r="W701" s="67"/>
      <c r="X701" s="67"/>
      <c r="Y701" s="67"/>
    </row>
    <row r="702" spans="1:25" ht="18.75">
      <c r="A702" s="138"/>
      <c r="B702" s="138"/>
      <c r="C702" s="138" t="s">
        <v>520</v>
      </c>
      <c r="D702" s="141"/>
      <c r="E702" s="138"/>
      <c r="F702" s="138"/>
      <c r="G702" s="138"/>
      <c r="H702" s="138"/>
      <c r="I702" s="138"/>
      <c r="J702" s="138"/>
      <c r="K702" s="138"/>
      <c r="L702" s="138"/>
      <c r="M702" s="138"/>
      <c r="N702" s="138"/>
      <c r="O702" s="138"/>
      <c r="P702" s="138"/>
      <c r="Q702" s="138"/>
      <c r="R702" s="138"/>
      <c r="T702" s="67"/>
      <c r="U702" s="67"/>
      <c r="V702" s="67"/>
      <c r="W702" s="67"/>
      <c r="X702" s="67"/>
      <c r="Y702" s="67"/>
    </row>
    <row r="703" spans="1:25" ht="18.75">
      <c r="A703" s="138"/>
      <c r="B703" s="138">
        <v>24</v>
      </c>
      <c r="C703" s="138" t="s">
        <v>379</v>
      </c>
      <c r="D703" s="137" t="s">
        <v>508</v>
      </c>
      <c r="E703" s="136">
        <f>BICHOLIM!D57</f>
        <v>392.95076613981706</v>
      </c>
      <c r="F703" s="136">
        <f>BICHOLIM!E57</f>
        <v>1078.3981896330924</v>
      </c>
      <c r="G703" s="136">
        <f>BICHOLIM!F57</f>
        <v>1471.3489557729094</v>
      </c>
      <c r="H703" s="136">
        <f>BICHOLIM!G57</f>
        <v>130.536490239339</v>
      </c>
      <c r="I703" s="136">
        <f>BICHOLIM!H57</f>
        <v>125.26583965686099</v>
      </c>
      <c r="J703" s="136">
        <f>BICHOLIM!I57</f>
        <v>1727.1512856691095</v>
      </c>
      <c r="K703" s="136">
        <f>BICHOLIM!J57</f>
        <v>9942.926082458982</v>
      </c>
      <c r="L703" s="136">
        <f>BICHOLIM!K57</f>
        <v>6149.358621835439</v>
      </c>
      <c r="M703" s="136">
        <f>BICHOLIM!L57</f>
        <v>11391.747713348672</v>
      </c>
      <c r="N703" s="136">
        <f>BICHOLIM!M57</f>
        <v>13864.008529228991</v>
      </c>
      <c r="O703" s="136">
        <f>BICHOLIM!N57</f>
        <v>165</v>
      </c>
      <c r="P703" s="136">
        <f>BICHOLIM!O57</f>
        <v>999</v>
      </c>
      <c r="Q703" s="136">
        <f>BICHOLIM!P57</f>
        <v>2009</v>
      </c>
      <c r="R703" s="136">
        <f>BICHOLIM!R57</f>
        <v>46248.1922325412</v>
      </c>
      <c r="T703" s="66">
        <v>436.584635436672</v>
      </c>
      <c r="U703" s="66">
        <v>1211.54305235911</v>
      </c>
      <c r="V703" s="66">
        <v>1649.12768779578</v>
      </c>
      <c r="W703" s="66">
        <v>2306.10030110156</v>
      </c>
      <c r="X703" s="66">
        <v>46709.3444330994</v>
      </c>
      <c r="Y703" s="66">
        <v>50663.5724219968</v>
      </c>
    </row>
    <row r="704" spans="1:25" ht="18.75">
      <c r="A704" s="138"/>
      <c r="B704" s="138">
        <v>25</v>
      </c>
      <c r="C704" s="138" t="s">
        <v>380</v>
      </c>
      <c r="D704" s="137" t="s">
        <v>507</v>
      </c>
      <c r="E704" s="136">
        <f>BICHOLIM!D58</f>
        <v>0</v>
      </c>
      <c r="F704" s="136">
        <f>BICHOLIM!E58</f>
        <v>19454.303340981038</v>
      </c>
      <c r="G704" s="136">
        <f>BICHOLIM!F58</f>
        <v>19454.303340981038</v>
      </c>
      <c r="H704" s="136">
        <f>BICHOLIM!G58</f>
        <v>2354.8782839176815</v>
      </c>
      <c r="I704" s="136">
        <f>BICHOLIM!H58</f>
        <v>2205.6757474097776</v>
      </c>
      <c r="J704" s="136">
        <f>BICHOLIM!I58</f>
        <v>24014.8573723085</v>
      </c>
      <c r="K704" s="136">
        <f>BICHOLIM!J58</f>
        <v>13000.073592468114</v>
      </c>
      <c r="L704" s="136">
        <f>BICHOLIM!K58</f>
        <v>3665.5622171033924</v>
      </c>
      <c r="M704" s="136">
        <f>BICHOLIM!L58</f>
        <v>7598.313204303363</v>
      </c>
      <c r="N704" s="136">
        <f>BICHOLIM!M58</f>
        <v>9264.176634924013</v>
      </c>
      <c r="O704" s="136">
        <f>BICHOLIM!N58</f>
        <v>165</v>
      </c>
      <c r="P704" s="136">
        <f>BICHOLIM!O58</f>
        <v>999</v>
      </c>
      <c r="Q704" s="136">
        <f>BICHOLIM!P58</f>
        <v>2009</v>
      </c>
      <c r="R704" s="136">
        <f>BICHOLIM!R58</f>
        <v>60715.983021107386</v>
      </c>
      <c r="T704" s="66">
        <v>0</v>
      </c>
      <c r="U704" s="66">
        <v>21856.2366645584</v>
      </c>
      <c r="V704" s="66">
        <v>21856.2366645584</v>
      </c>
      <c r="W704" s="66">
        <v>3015.1560393094</v>
      </c>
      <c r="X704" s="66">
        <v>27842.9050359294</v>
      </c>
      <c r="Y704" s="66">
        <v>52714.2977397972</v>
      </c>
    </row>
    <row r="705" spans="1:25" ht="18.75">
      <c r="A705" s="138"/>
      <c r="B705" s="138"/>
      <c r="C705" s="138" t="s">
        <v>381</v>
      </c>
      <c r="D705" s="137" t="s">
        <v>507</v>
      </c>
      <c r="E705" s="136">
        <f>BICHOLIM!D59</f>
        <v>0</v>
      </c>
      <c r="F705" s="136">
        <f>BICHOLIM!E59</f>
        <v>17262.21393005414</v>
      </c>
      <c r="G705" s="136">
        <f>BICHOLIM!F59</f>
        <v>17262.21393005414</v>
      </c>
      <c r="H705" s="136">
        <f>BICHOLIM!G59</f>
        <v>2089.5332001220804</v>
      </c>
      <c r="I705" s="136">
        <f>BICHOLIM!H59</f>
        <v>1957.1426406163775</v>
      </c>
      <c r="J705" s="136">
        <f>BICHOLIM!I59</f>
        <v>21308.889770792597</v>
      </c>
      <c r="K705" s="136">
        <f>BICHOLIM!J59</f>
        <v>11088.636731219425</v>
      </c>
      <c r="L705" s="136">
        <f>BICHOLIM!K59</f>
        <v>2601.3542604129634</v>
      </c>
      <c r="M705" s="136">
        <f>BICHOLIM!L59</f>
        <v>3972.9774159034346</v>
      </c>
      <c r="N705" s="136">
        <f>BICHOLIM!M59</f>
        <v>8068.871423476499</v>
      </c>
      <c r="O705" s="136">
        <f>BICHOLIM!N59</f>
        <v>165</v>
      </c>
      <c r="P705" s="136">
        <f>BICHOLIM!O59</f>
        <v>999</v>
      </c>
      <c r="Q705" s="136">
        <f>BICHOLIM!P59</f>
        <v>2009</v>
      </c>
      <c r="R705" s="136">
        <f>BICHOLIM!R59</f>
        <v>50213.729601804924</v>
      </c>
      <c r="T705" s="66">
        <v>0</v>
      </c>
      <c r="U705" s="66">
        <v>19393.5000599448</v>
      </c>
      <c r="V705" s="66">
        <v>19393.5000599448</v>
      </c>
      <c r="W705" s="66">
        <v>2571.82928773688</v>
      </c>
      <c r="X705" s="66">
        <v>19759.3862408162</v>
      </c>
      <c r="Y705" s="66">
        <v>41724.7155884979</v>
      </c>
    </row>
    <row r="706" spans="1:25" ht="18.75">
      <c r="A706" s="138"/>
      <c r="B706" s="138">
        <v>26</v>
      </c>
      <c r="C706" s="138" t="s">
        <v>382</v>
      </c>
      <c r="D706" s="137" t="s">
        <v>508</v>
      </c>
      <c r="E706" s="136">
        <f>BICHOLIM!D60</f>
        <v>3019.7412137049</v>
      </c>
      <c r="F706" s="136">
        <f>BICHOLIM!E60</f>
        <v>335.28380077683505</v>
      </c>
      <c r="G706" s="136">
        <f>BICHOLIM!F60</f>
        <v>3355.025014481735</v>
      </c>
      <c r="H706" s="136">
        <f>BICHOLIM!G60</f>
        <v>40.58498151077641</v>
      </c>
      <c r="I706" s="136">
        <f>BICHOLIM!H60</f>
        <v>38.013561056951424</v>
      </c>
      <c r="J706" s="136">
        <f>BICHOLIM!I60</f>
        <v>3433.6235570494628</v>
      </c>
      <c r="K706" s="136">
        <f>BICHOLIM!J60</f>
        <v>1992.0396204579056</v>
      </c>
      <c r="L706" s="136">
        <f>BICHOLIM!K60</f>
        <v>16583.77842393487</v>
      </c>
      <c r="M706" s="136">
        <f>BICHOLIM!L60</f>
        <v>28306.95250200961</v>
      </c>
      <c r="N706" s="136">
        <f>BICHOLIM!M60</f>
        <v>41388.88226487134</v>
      </c>
      <c r="O706" s="136">
        <f>BICHOLIM!N60</f>
        <v>165</v>
      </c>
      <c r="P706" s="136">
        <f>BICHOLIM!O60</f>
        <v>999</v>
      </c>
      <c r="Q706" s="136">
        <f>BICHOLIM!P60</f>
        <v>2009</v>
      </c>
      <c r="R706" s="136">
        <f>BICHOLIM!R60</f>
        <v>94878.27636832319</v>
      </c>
      <c r="T706" s="66">
        <v>3355.05801362747</v>
      </c>
      <c r="U706" s="66">
        <v>376.679749006197</v>
      </c>
      <c r="V706" s="66">
        <v>3731.73776263366</v>
      </c>
      <c r="W706" s="66">
        <v>462.02125314484</v>
      </c>
      <c r="X706" s="66">
        <v>125967.188782132</v>
      </c>
      <c r="Y706" s="66">
        <v>130160.947797911</v>
      </c>
    </row>
    <row r="707" spans="1:25" ht="18.75">
      <c r="A707" s="138"/>
      <c r="B707" s="138">
        <v>27</v>
      </c>
      <c r="C707" s="138" t="s">
        <v>383</v>
      </c>
      <c r="D707" s="137" t="s">
        <v>507</v>
      </c>
      <c r="E707" s="136">
        <f>BICHOLIM!D61</f>
        <v>3545.099303217908</v>
      </c>
      <c r="F707" s="136">
        <f>BICHOLIM!E61</f>
        <v>5605.70986211093</v>
      </c>
      <c r="G707" s="136">
        <f>BICHOLIM!F61</f>
        <v>9150.809165328837</v>
      </c>
      <c r="H707" s="136">
        <f>BICHOLIM!G61</f>
        <v>678.5524101714004</v>
      </c>
      <c r="I707" s="136">
        <f>BICHOLIM!H61</f>
        <v>635.5600646890283</v>
      </c>
      <c r="J707" s="136">
        <f>BICHOLIM!I61</f>
        <v>10464.921640189266</v>
      </c>
      <c r="K707" s="136">
        <f>BICHOLIM!J61</f>
        <v>18809.22959547971</v>
      </c>
      <c r="L707" s="136">
        <f>BICHOLIM!K61</f>
        <v>14321.563109022525</v>
      </c>
      <c r="M707" s="136">
        <f>BICHOLIM!L61</f>
        <v>21872.932748325307</v>
      </c>
      <c r="N707" s="136">
        <f>BICHOLIM!M61</f>
        <v>34288.6150094326</v>
      </c>
      <c r="O707" s="136">
        <f>BICHOLIM!N61</f>
        <v>165</v>
      </c>
      <c r="P707" s="136">
        <f>BICHOLIM!O61</f>
        <v>999</v>
      </c>
      <c r="Q707" s="136">
        <f>BICHOLIM!P61</f>
        <v>2009</v>
      </c>
      <c r="R707" s="136">
        <f>BICHOLIM!R61</f>
        <v>102930.26210244941</v>
      </c>
      <c r="T707" s="66">
        <v>3938.75268926562</v>
      </c>
      <c r="U707" s="66">
        <v>6297.82106671763</v>
      </c>
      <c r="V707" s="66">
        <v>10236.5737559833</v>
      </c>
      <c r="W707" s="66">
        <v>4362.49547405836</v>
      </c>
      <c r="X707" s="66">
        <v>108783.83669223</v>
      </c>
      <c r="Y707" s="66">
        <v>123382.905922271</v>
      </c>
    </row>
    <row r="708" spans="1:25" ht="18.75">
      <c r="A708" s="138">
        <v>4</v>
      </c>
      <c r="B708" s="138"/>
      <c r="C708" s="138" t="s">
        <v>78</v>
      </c>
      <c r="D708" s="137"/>
      <c r="E708" s="136">
        <f>BICHOLIM!D62</f>
        <v>6957.791283062625</v>
      </c>
      <c r="F708" s="136">
        <f>BICHOLIM!E62</f>
        <v>43735.90912355604</v>
      </c>
      <c r="G708" s="136">
        <f>BICHOLIM!F62</f>
        <v>50693.70040661866</v>
      </c>
      <c r="H708" s="136">
        <f>BICHOLIM!G62</f>
        <v>5294.0853659612785</v>
      </c>
      <c r="I708" s="136">
        <f>BICHOLIM!H62</f>
        <v>4961.657853428996</v>
      </c>
      <c r="J708" s="136">
        <f>BICHOLIM!I62</f>
        <v>60949.44362600893</v>
      </c>
      <c r="K708" s="136">
        <f>BICHOLIM!J62</f>
        <v>54832.90562208414</v>
      </c>
      <c r="L708" s="136">
        <f>BICHOLIM!K62</f>
        <v>43321.61663230919</v>
      </c>
      <c r="M708" s="136">
        <f>BICHOLIM!L62</f>
        <v>73142.9235838904</v>
      </c>
      <c r="N708" s="136">
        <f>BICHOLIM!M62</f>
        <v>106874.55386193344</v>
      </c>
      <c r="O708" s="136">
        <f>BICHOLIM!N62</f>
        <v>825</v>
      </c>
      <c r="P708" s="136">
        <f>BICHOLIM!O62</f>
        <v>4995</v>
      </c>
      <c r="Q708" s="136">
        <f>BICHOLIM!P62</f>
        <v>10045</v>
      </c>
      <c r="R708" s="136">
        <f>BICHOLIM!R62</f>
        <v>354986.44332622614</v>
      </c>
      <c r="T708" s="66">
        <v>7731.39533832976</v>
      </c>
      <c r="U708" s="66">
        <v>49136.7805925861</v>
      </c>
      <c r="V708" s="66">
        <v>56868.1759309159</v>
      </c>
      <c r="W708" s="66">
        <v>12716.602355351</v>
      </c>
      <c r="X708" s="66">
        <v>329061.661184207</v>
      </c>
      <c r="Y708" s="66">
        <v>398647.439470474</v>
      </c>
    </row>
    <row r="709" spans="1:25" ht="18.75">
      <c r="A709" s="138"/>
      <c r="B709" s="138"/>
      <c r="C709" s="138"/>
      <c r="D709" s="141"/>
      <c r="E709" s="138"/>
      <c r="F709" s="138"/>
      <c r="G709" s="138"/>
      <c r="H709" s="138"/>
      <c r="I709" s="138"/>
      <c r="J709" s="138"/>
      <c r="K709" s="138"/>
      <c r="L709" s="138"/>
      <c r="M709" s="138"/>
      <c r="N709" s="138"/>
      <c r="O709" s="138"/>
      <c r="P709" s="138"/>
      <c r="Q709" s="138"/>
      <c r="R709" s="138"/>
      <c r="T709" s="67"/>
      <c r="U709" s="67"/>
      <c r="V709" s="67"/>
      <c r="W709" s="67"/>
      <c r="X709" s="67"/>
      <c r="Y709" s="67"/>
    </row>
    <row r="710" spans="1:25" ht="18.75">
      <c r="A710" s="138"/>
      <c r="B710" s="138"/>
      <c r="C710" s="138" t="s">
        <v>521</v>
      </c>
      <c r="D710" s="141"/>
      <c r="E710" s="138"/>
      <c r="F710" s="138"/>
      <c r="G710" s="138"/>
      <c r="H710" s="138"/>
      <c r="I710" s="138"/>
      <c r="J710" s="138"/>
      <c r="K710" s="138"/>
      <c r="L710" s="138"/>
      <c r="M710" s="138"/>
      <c r="N710" s="138"/>
      <c r="O710" s="138"/>
      <c r="P710" s="138"/>
      <c r="Q710" s="138"/>
      <c r="R710" s="138"/>
      <c r="T710" s="67"/>
      <c r="U710" s="67"/>
      <c r="V710" s="67"/>
      <c r="W710" s="67"/>
      <c r="X710" s="67"/>
      <c r="Y710" s="67"/>
    </row>
    <row r="711" spans="1:25" ht="18.75">
      <c r="A711" s="138"/>
      <c r="B711" s="138">
        <v>28</v>
      </c>
      <c r="C711" s="138" t="s">
        <v>439</v>
      </c>
      <c r="D711" s="137" t="s">
        <v>508</v>
      </c>
      <c r="E711" s="136">
        <f>'TRAIL SATTARI'!D28</f>
        <v>86238.92109841276</v>
      </c>
      <c r="F711" s="136">
        <f>'TRAIL SATTARI'!E28</f>
        <v>139515.03515779792</v>
      </c>
      <c r="G711" s="136">
        <f>'TRAIL SATTARI'!F28</f>
        <v>225753.9562562107</v>
      </c>
      <c r="H711" s="136">
        <f>'TRAIL SATTARI'!G28</f>
        <v>16887.827891581677</v>
      </c>
      <c r="I711" s="136">
        <f>'TRAIL SATTARI'!H28</f>
        <v>15822.833414694738</v>
      </c>
      <c r="J711" s="136">
        <f>'TRAIL SATTARI'!I28</f>
        <v>258464.6175624871</v>
      </c>
      <c r="K711" s="136">
        <f>'TRAIL SATTARI'!J28</f>
        <v>18700.011463097642</v>
      </c>
      <c r="L711" s="136">
        <f>'TRAIL SATTARI'!K28</f>
        <v>11634.009368788202</v>
      </c>
      <c r="M711" s="136">
        <f>'TRAIL SATTARI'!L28</f>
        <v>17213.759763240163</v>
      </c>
      <c r="N711" s="136">
        <f>'TRAIL SATTARI'!M28</f>
        <v>23720.312031449765</v>
      </c>
      <c r="O711" s="136">
        <f>'TRAIL SATTARI'!N28</f>
        <v>418.53333333333336</v>
      </c>
      <c r="P711" s="136">
        <f>'TRAIL SATTARI'!O28</f>
        <v>2586.6666666666665</v>
      </c>
      <c r="Q711" s="136">
        <f>'TRAIL SATTARI'!P28</f>
        <v>5345</v>
      </c>
      <c r="R711" s="136">
        <f>'TRAIL SATTARI'!Q28</f>
        <v>338082.9101890629</v>
      </c>
      <c r="T711" s="66">
        <v>73705.2989297581</v>
      </c>
      <c r="U711" s="66">
        <v>156740.31463515</v>
      </c>
      <c r="V711" s="66">
        <v>230444.613564908</v>
      </c>
      <c r="W711" s="66">
        <v>4105.23033421323</v>
      </c>
      <c r="X711" s="66">
        <v>73179.055203747</v>
      </c>
      <c r="Y711" s="66">
        <v>307728.899102868</v>
      </c>
    </row>
    <row r="712" spans="1:25" ht="18.75">
      <c r="A712" s="138"/>
      <c r="B712" s="138"/>
      <c r="C712" s="138" t="s">
        <v>440</v>
      </c>
      <c r="D712" s="137" t="s">
        <v>508</v>
      </c>
      <c r="E712" s="136">
        <f>'TRAIL SATTARI'!D29</f>
        <v>47295.35533294749</v>
      </c>
      <c r="F712" s="136">
        <f>'TRAIL SATTARI'!E29</f>
        <v>99375</v>
      </c>
      <c r="G712" s="136">
        <f>'TRAIL SATTARI'!F29</f>
        <v>146670.35533294748</v>
      </c>
      <c r="H712" s="136">
        <f>'TRAIL SATTARI'!G29</f>
        <v>12029.0110297272</v>
      </c>
      <c r="I712" s="136">
        <f>'TRAIL SATTARI'!H29</f>
        <v>11266.865924575093</v>
      </c>
      <c r="J712" s="136">
        <f>'TRAIL SATTARI'!I29</f>
        <v>169966.2322872498</v>
      </c>
      <c r="K712" s="136">
        <f>'TRAIL SATTARI'!J29</f>
        <v>35856.30570121698</v>
      </c>
      <c r="L712" s="136">
        <f>'TRAIL SATTARI'!K29</f>
        <v>7854.2396007947855</v>
      </c>
      <c r="M712" s="136">
        <f>'TRAIL SATTARI'!L29</f>
        <v>9941.020481213853</v>
      </c>
      <c r="N712" s="136">
        <f>'TRAIL SATTARI'!M29</f>
        <v>15198.649281791879</v>
      </c>
      <c r="O712" s="136">
        <f>'TRAIL SATTARI'!N29</f>
        <v>418.53333333333336</v>
      </c>
      <c r="P712" s="136">
        <f>'TRAIL SATTARI'!O29</f>
        <v>2586.6666666666665</v>
      </c>
      <c r="Q712" s="136">
        <f>'TRAIL SATTARI'!P29</f>
        <v>5345</v>
      </c>
      <c r="R712" s="136">
        <f>'TRAIL SATTARI'!Q29</f>
        <v>247166.64735226726</v>
      </c>
      <c r="T712" s="66">
        <v>41436.6900756276</v>
      </c>
      <c r="U712" s="66">
        <v>101533.520380894</v>
      </c>
      <c r="V712" s="66">
        <v>142971.210456522</v>
      </c>
      <c r="W712" s="66">
        <v>8200.32116775536</v>
      </c>
      <c r="X712" s="66">
        <v>44468.2692867684</v>
      </c>
      <c r="Y712" s="66">
        <v>195638.800911046</v>
      </c>
    </row>
    <row r="713" spans="1:25" ht="18.75">
      <c r="A713" s="138"/>
      <c r="B713" s="138">
        <v>29</v>
      </c>
      <c r="C713" s="138" t="s">
        <v>441</v>
      </c>
      <c r="D713" s="137" t="s">
        <v>508</v>
      </c>
      <c r="E713" s="136">
        <f>'TRAIL SATTARI'!D30</f>
        <v>38295.35533294749</v>
      </c>
      <c r="F713" s="136">
        <f>'TRAIL SATTARI'!E30</f>
        <v>66253.99613439111</v>
      </c>
      <c r="G713" s="136">
        <f>'TRAIL SATTARI'!F30</f>
        <v>104549.3514673386</v>
      </c>
      <c r="H713" s="136">
        <f>'TRAIL SATTARI'!G30</f>
        <v>8025.824405173273</v>
      </c>
      <c r="I713" s="136">
        <f>'TRAIL SATTARI'!H30</f>
        <v>7511.69702051322</v>
      </c>
      <c r="J713" s="136">
        <f>'TRAIL SATTARI'!I30</f>
        <v>120086.8728930251</v>
      </c>
      <c r="K713" s="136">
        <f>'TRAIL SATTARI'!J30</f>
        <v>44709.04375932686</v>
      </c>
      <c r="L713" s="136">
        <f>'TRAIL SATTARI'!K30</f>
        <v>7910.095707751869</v>
      </c>
      <c r="M713" s="136">
        <f>'TRAIL SATTARI'!L30</f>
        <v>9871.327990021035</v>
      </c>
      <c r="N713" s="136">
        <f>'TRAIL SATTARI'!M30</f>
        <v>15324.579413840574</v>
      </c>
      <c r="O713" s="136">
        <f>'TRAIL SATTARI'!N30</f>
        <v>418.53333333333336</v>
      </c>
      <c r="P713" s="136">
        <f>'TRAIL SATTARI'!O30</f>
        <v>2586.6666666666665</v>
      </c>
      <c r="Q713" s="136">
        <f>'TRAIL SATTARI'!P30</f>
        <v>5345</v>
      </c>
      <c r="R713" s="136">
        <f>'TRAIL SATTARI'!Q30</f>
        <v>206252.11976396543</v>
      </c>
      <c r="T713" s="66">
        <v>41436.6900756276</v>
      </c>
      <c r="U713" s="66">
        <v>74434.0722001391</v>
      </c>
      <c r="V713" s="66">
        <v>115870.762275767</v>
      </c>
      <c r="W713" s="66">
        <v>10253.5700536539</v>
      </c>
      <c r="X713" s="66">
        <v>44892.5471733689</v>
      </c>
      <c r="Y713" s="66">
        <v>171017.87950279</v>
      </c>
    </row>
    <row r="714" spans="1:25" ht="18.75">
      <c r="A714" s="138"/>
      <c r="B714" s="138">
        <v>30</v>
      </c>
      <c r="C714" s="138" t="s">
        <v>442</v>
      </c>
      <c r="D714" s="137" t="s">
        <v>508</v>
      </c>
      <c r="E714" s="136">
        <f>'TRAIL SATTARI'!D31</f>
        <v>39675.35533294749</v>
      </c>
      <c r="F714" s="136">
        <f>'TRAIL SATTARI'!E31</f>
        <v>38209.72274322176</v>
      </c>
      <c r="G714" s="136">
        <f>'TRAIL SATTARI'!F31</f>
        <v>77885.07807616924</v>
      </c>
      <c r="H714" s="136">
        <f>'TRAIL SATTARI'!G31</f>
        <v>4625.159007004104</v>
      </c>
      <c r="I714" s="136">
        <f>'TRAIL SATTARI'!H31</f>
        <v>4332.113943779294</v>
      </c>
      <c r="J714" s="136">
        <f>'TRAIL SATTARI'!I31</f>
        <v>86842.35102695263</v>
      </c>
      <c r="K714" s="136">
        <f>'TRAIL SATTARI'!J31</f>
        <v>39148.7749680863</v>
      </c>
      <c r="L714" s="136">
        <f>'TRAIL SATTARI'!K31</f>
        <v>12004.95204977666</v>
      </c>
      <c r="M714" s="136">
        <f>'TRAIL SATTARI'!L31</f>
        <v>19307.563130567993</v>
      </c>
      <c r="N714" s="136">
        <f>'TRAIL SATTARI'!M31</f>
        <v>24811.164621314652</v>
      </c>
      <c r="O714" s="136">
        <f>'TRAIL SATTARI'!N31</f>
        <v>418.53333333333336</v>
      </c>
      <c r="P714" s="136">
        <f>'TRAIL SATTARI'!O31</f>
        <v>2586.6666666666665</v>
      </c>
      <c r="Q714" s="136">
        <f>'TRAIL SATTARI'!P31</f>
        <v>5345</v>
      </c>
      <c r="R714" s="136">
        <f>'TRAIL SATTARI'!Q31</f>
        <v>190465.00579669818</v>
      </c>
      <c r="T714" s="66">
        <v>41436.6900756276</v>
      </c>
      <c r="U714" s="66">
        <v>37804.2991867701</v>
      </c>
      <c r="V714" s="66">
        <v>79240.9892623977</v>
      </c>
      <c r="W714" s="66">
        <v>9079.92285097363</v>
      </c>
      <c r="X714" s="66">
        <v>83592.6105878899</v>
      </c>
      <c r="Y714" s="66">
        <v>171913.522701261</v>
      </c>
    </row>
    <row r="715" spans="1:25" ht="18.75">
      <c r="A715" s="138"/>
      <c r="B715" s="138">
        <v>31</v>
      </c>
      <c r="C715" s="138" t="s">
        <v>443</v>
      </c>
      <c r="D715" s="137" t="s">
        <v>508</v>
      </c>
      <c r="E715" s="136">
        <f>'TRAIL SATTARI'!D32</f>
        <v>40348.56980805506</v>
      </c>
      <c r="F715" s="136">
        <f>'TRAIL SATTARI'!E32</f>
        <v>25007</v>
      </c>
      <c r="G715" s="136">
        <f>'TRAIL SATTARI'!F32</f>
        <v>65355.56980805506</v>
      </c>
      <c r="H715" s="136">
        <f>'TRAIL SATTARI'!G32</f>
        <v>3027.0136233498174</v>
      </c>
      <c r="I715" s="136">
        <f>'TRAIL SATTARI'!H32</f>
        <v>2835.2253200085474</v>
      </c>
      <c r="J715" s="136">
        <f>'TRAIL SATTARI'!I32</f>
        <v>71217.80875141342</v>
      </c>
      <c r="K715" s="136">
        <f>'TRAIL SATTARI'!J32</f>
        <v>57887.00945898102</v>
      </c>
      <c r="L715" s="136">
        <f>'TRAIL SATTARI'!K32</f>
        <v>5591.371991872125</v>
      </c>
      <c r="M715" s="136">
        <f>'TRAIL SATTARI'!L32</f>
        <v>8012.277223950154</v>
      </c>
      <c r="N715" s="136">
        <f>'TRAIL SATTARI'!M32</f>
        <v>10907.45685440261</v>
      </c>
      <c r="O715" s="136">
        <f>'TRAIL SATTARI'!N32</f>
        <v>418.53333333333336</v>
      </c>
      <c r="P715" s="136">
        <f>'TRAIL SATTARI'!O32</f>
        <v>2586.6666666666665</v>
      </c>
      <c r="Q715" s="136">
        <f>'TRAIL SATTARI'!P32</f>
        <v>5345</v>
      </c>
      <c r="R715" s="136">
        <f>'TRAIL SATTARI'!Q32</f>
        <v>161966.12428061932</v>
      </c>
      <c r="T715" s="66">
        <v>44828.9382740966</v>
      </c>
      <c r="U715" s="66">
        <v>26971.4288919587</v>
      </c>
      <c r="V715" s="66">
        <v>71800.3671660552</v>
      </c>
      <c r="W715" s="66">
        <v>13338.5131328373</v>
      </c>
      <c r="X715" s="66">
        <v>34875.6422785595</v>
      </c>
      <c r="Y715" s="66">
        <v>120014.522577452</v>
      </c>
    </row>
    <row r="716" spans="1:25" s="85" customFormat="1" ht="18.75">
      <c r="A716" s="138">
        <v>4</v>
      </c>
      <c r="B716" s="138"/>
      <c r="C716" s="138" t="s">
        <v>78</v>
      </c>
      <c r="D716" s="137"/>
      <c r="E716" s="136">
        <f>'TRAIL SATTARI'!D33</f>
        <v>251853.5569053103</v>
      </c>
      <c r="F716" s="136">
        <f>'TRAIL SATTARI'!E33</f>
        <v>368360.7540354108</v>
      </c>
      <c r="G716" s="136">
        <f>'TRAIL SATTARI'!F33</f>
        <v>620214.3109407211</v>
      </c>
      <c r="H716" s="136">
        <f>'TRAIL SATTARI'!G33</f>
        <v>44594.835956836076</v>
      </c>
      <c r="I716" s="136">
        <f>'TRAIL SATTARI'!H33</f>
        <v>41768.735623570894</v>
      </c>
      <c r="J716" s="136">
        <f>'TRAIL SATTARI'!I33</f>
        <v>706577.882521128</v>
      </c>
      <c r="K716" s="136">
        <f>'TRAIL SATTARI'!J33</f>
        <v>196301.1453507088</v>
      </c>
      <c r="L716" s="136">
        <f>'TRAIL SATTARI'!K33</f>
        <v>44994.668718983645</v>
      </c>
      <c r="M716" s="136">
        <f>'TRAIL SATTARI'!L33</f>
        <v>64345.9485889932</v>
      </c>
      <c r="N716" s="136">
        <f>'TRAIL SATTARI'!M33</f>
        <v>89962.16220279947</v>
      </c>
      <c r="O716" s="136">
        <f>'TRAIL SATTARI'!N33</f>
        <v>2092.666666666667</v>
      </c>
      <c r="P716" s="136">
        <f>'TRAIL SATTARI'!O33</f>
        <v>12933.333333333332</v>
      </c>
      <c r="Q716" s="136">
        <f>'TRAIL SATTARI'!P33</f>
        <v>26725</v>
      </c>
      <c r="R716" s="136">
        <f>'TRAIL SATTARI'!Q33</f>
        <v>1143932.807382613</v>
      </c>
      <c r="T716" s="86">
        <v>242845.307430738</v>
      </c>
      <c r="U716" s="86">
        <v>397482.635294911</v>
      </c>
      <c r="V716" s="86">
        <v>640327.942725649</v>
      </c>
      <c r="W716" s="86">
        <v>44977.5575394335</v>
      </c>
      <c r="X716" s="86">
        <v>281009.124530334</v>
      </c>
      <c r="Y716" s="86">
        <v>966314.624795416</v>
      </c>
    </row>
    <row r="717" spans="1:25" ht="18.75">
      <c r="A717" s="138"/>
      <c r="B717" s="138"/>
      <c r="C717" s="138"/>
      <c r="D717" s="141"/>
      <c r="E717" s="138"/>
      <c r="F717" s="138"/>
      <c r="G717" s="138"/>
      <c r="H717" s="138"/>
      <c r="I717" s="138"/>
      <c r="J717" s="138"/>
      <c r="K717" s="138"/>
      <c r="L717" s="138"/>
      <c r="M717" s="138"/>
      <c r="N717" s="138"/>
      <c r="O717" s="138"/>
      <c r="P717" s="138"/>
      <c r="Q717" s="138"/>
      <c r="R717" s="138"/>
      <c r="T717" s="67"/>
      <c r="U717" s="67"/>
      <c r="V717" s="67"/>
      <c r="W717" s="67"/>
      <c r="X717" s="67"/>
      <c r="Y717" s="67"/>
    </row>
    <row r="718" spans="1:25" ht="18.75">
      <c r="A718" s="138"/>
      <c r="B718" s="138"/>
      <c r="C718" s="138" t="s">
        <v>522</v>
      </c>
      <c r="D718" s="141"/>
      <c r="E718" s="138"/>
      <c r="F718" s="138"/>
      <c r="G718" s="138"/>
      <c r="H718" s="138"/>
      <c r="I718" s="138"/>
      <c r="J718" s="138"/>
      <c r="K718" s="138"/>
      <c r="L718" s="138"/>
      <c r="M718" s="138"/>
      <c r="N718" s="138"/>
      <c r="O718" s="138"/>
      <c r="P718" s="138"/>
      <c r="Q718" s="138"/>
      <c r="R718" s="138"/>
      <c r="T718" s="67"/>
      <c r="U718" s="67"/>
      <c r="V718" s="67"/>
      <c r="W718" s="67"/>
      <c r="X718" s="67"/>
      <c r="Y718" s="67"/>
    </row>
    <row r="719" spans="1:25" ht="18.75">
      <c r="A719" s="138"/>
      <c r="B719" s="138">
        <v>32</v>
      </c>
      <c r="C719" s="138" t="s">
        <v>416</v>
      </c>
      <c r="D719" s="137" t="s">
        <v>508</v>
      </c>
      <c r="E719" s="136">
        <f>PERNEM!D47</f>
        <v>26822.58720692968</v>
      </c>
      <c r="F719" s="136">
        <f>PERNEM!E47</f>
        <v>13083.911126221208</v>
      </c>
      <c r="G719" s="136">
        <f>PERNEM!F47</f>
        <v>39906.498333150885</v>
      </c>
      <c r="H719" s="136">
        <f>PERNEM!G47</f>
        <v>1579.763635212934</v>
      </c>
      <c r="I719" s="136">
        <f>PERNEM!H47</f>
        <v>1483.418087327705</v>
      </c>
      <c r="J719" s="136">
        <f>PERNEM!I47</f>
        <v>42969.680055691526</v>
      </c>
      <c r="K719" s="136">
        <f>PERNEM!J47</f>
        <v>25781.36826708238</v>
      </c>
      <c r="L719" s="136">
        <f>PERNEM!K47</f>
        <v>5291.19502274441</v>
      </c>
      <c r="M719" s="136">
        <f>PERNEM!L47</f>
        <v>9621.370580191462</v>
      </c>
      <c r="N719" s="136">
        <f>PERNEM!M47</f>
        <v>14183.785142187397</v>
      </c>
      <c r="O719" s="136">
        <f>PERNEM!N47</f>
        <v>232</v>
      </c>
      <c r="P719" s="136">
        <f>PERNEM!O47</f>
        <v>1437</v>
      </c>
      <c r="Q719" s="136">
        <f>PERNEM!P47</f>
        <v>2969</v>
      </c>
      <c r="R719" s="136">
        <f>PERNEM!R47</f>
        <v>102485.39906789717</v>
      </c>
      <c r="T719" s="66">
        <v>29801.0093535205</v>
      </c>
      <c r="U719" s="66">
        <v>14699.3214334407</v>
      </c>
      <c r="V719" s="66">
        <v>44500.3307869612</v>
      </c>
      <c r="W719" s="66">
        <v>5979.5698600653</v>
      </c>
      <c r="X719" s="66">
        <v>47787.3427607908</v>
      </c>
      <c r="Y719" s="66">
        <v>98267.2434078173</v>
      </c>
    </row>
    <row r="720" spans="1:25" ht="18.75">
      <c r="A720" s="138"/>
      <c r="B720" s="138">
        <v>33</v>
      </c>
      <c r="C720" s="138" t="s">
        <v>417</v>
      </c>
      <c r="D720" s="137" t="s">
        <v>508</v>
      </c>
      <c r="E720" s="136">
        <f>PERNEM!D48</f>
        <v>19160.21117998195</v>
      </c>
      <c r="F720" s="136">
        <f>PERNEM!E48</f>
        <v>15930.882346852526</v>
      </c>
      <c r="G720" s="136">
        <f>PERNEM!F48</f>
        <v>35091.09352683448</v>
      </c>
      <c r="H720" s="136">
        <f>PERNEM!G48</f>
        <v>1928.3799694447837</v>
      </c>
      <c r="I720" s="136">
        <f>PERNEM!H48</f>
        <v>1802.199904021813</v>
      </c>
      <c r="J720" s="136">
        <f>PERNEM!I48</f>
        <v>38821.67340030107</v>
      </c>
      <c r="K720" s="136">
        <f>PERNEM!J48</f>
        <v>9643.54440539592</v>
      </c>
      <c r="L720" s="136">
        <f>PERNEM!K48</f>
        <v>5450.12803364538</v>
      </c>
      <c r="M720" s="136">
        <f>PERNEM!L48</f>
        <v>9851.104633203851</v>
      </c>
      <c r="N720" s="136">
        <f>PERNEM!M48</f>
        <v>14542.106839491402</v>
      </c>
      <c r="O720" s="136">
        <f>PERNEM!N48</f>
        <v>232</v>
      </c>
      <c r="P720" s="136">
        <f>PERNEM!O48</f>
        <v>1437</v>
      </c>
      <c r="Q720" s="136">
        <f>PERNEM!P48</f>
        <v>2969</v>
      </c>
      <c r="R720" s="136">
        <f>PERNEM!R48</f>
        <v>82946.55731203762</v>
      </c>
      <c r="T720" s="66">
        <v>21287.7910764161</v>
      </c>
      <c r="U720" s="66">
        <v>17897.7950916687</v>
      </c>
      <c r="V720" s="66">
        <v>39185.5861680849</v>
      </c>
      <c r="W720" s="66">
        <v>2236.66358097574</v>
      </c>
      <c r="X720" s="66">
        <v>48994.5833947993</v>
      </c>
      <c r="Y720" s="66">
        <v>90417.8331438599</v>
      </c>
    </row>
    <row r="721" spans="1:25" ht="18.75">
      <c r="A721" s="138"/>
      <c r="B721" s="138">
        <v>34</v>
      </c>
      <c r="C721" s="138" t="s">
        <v>418</v>
      </c>
      <c r="D721" s="137" t="s">
        <v>508</v>
      </c>
      <c r="E721" s="136">
        <f>PERNEM!D49</f>
        <v>28731.774544747874</v>
      </c>
      <c r="F721" s="136">
        <f>PERNEM!E49</f>
        <v>24358.074017839845</v>
      </c>
      <c r="G721" s="136">
        <f>PERNEM!F49</f>
        <v>53089.84856258772</v>
      </c>
      <c r="H721" s="136">
        <f>PERNEM!G49</f>
        <v>2948.4633058969257</v>
      </c>
      <c r="I721" s="136">
        <f>PERNEM!H49</f>
        <v>2761.651865558518</v>
      </c>
      <c r="J721" s="136">
        <f>PERNEM!I49</f>
        <v>58799.963734043165</v>
      </c>
      <c r="K721" s="136">
        <f>PERNEM!J49</f>
        <v>36795.15957903606</v>
      </c>
      <c r="L721" s="136">
        <f>PERNEM!K49</f>
        <v>6359.255791864827</v>
      </c>
      <c r="M721" s="136">
        <f>PERNEM!L49</f>
        <v>11239.590663939007</v>
      </c>
      <c r="N721" s="136">
        <f>PERNEM!M49</f>
        <v>16591.776694386153</v>
      </c>
      <c r="O721" s="136">
        <f>PERNEM!N49</f>
        <v>232</v>
      </c>
      <c r="P721" s="136">
        <f>PERNEM!O49</f>
        <v>1437</v>
      </c>
      <c r="Q721" s="136">
        <f>PERNEM!P49</f>
        <v>2969</v>
      </c>
      <c r="R721" s="136">
        <f>PERNEM!R49</f>
        <v>134423.74646326923</v>
      </c>
      <c r="T721" s="66">
        <v>31922.1958473142</v>
      </c>
      <c r="U721" s="66">
        <v>27365.4533444677</v>
      </c>
      <c r="V721" s="66">
        <v>59286.6491917819</v>
      </c>
      <c r="W721" s="66">
        <v>8534.03996777073</v>
      </c>
      <c r="X721" s="66">
        <v>55900.2348073397</v>
      </c>
      <c r="Y721" s="66">
        <v>123720.923966892</v>
      </c>
    </row>
    <row r="722" spans="1:25" ht="18.75">
      <c r="A722" s="138"/>
      <c r="B722" s="138">
        <v>35</v>
      </c>
      <c r="C722" s="138" t="s">
        <v>419</v>
      </c>
      <c r="D722" s="137" t="s">
        <v>508</v>
      </c>
      <c r="E722" s="136">
        <f>PERNEM!D50</f>
        <v>22000.50106733999</v>
      </c>
      <c r="F722" s="136">
        <f>PERNEM!E50</f>
        <v>5299.836921051361</v>
      </c>
      <c r="G722" s="136">
        <f>PERNEM!F50</f>
        <v>27300.33798839135</v>
      </c>
      <c r="H722" s="136">
        <f>PERNEM!G50</f>
        <v>641.5275147580605</v>
      </c>
      <c r="I722" s="136">
        <f>PERNEM!H50</f>
        <v>600.8810265318094</v>
      </c>
      <c r="J722" s="136">
        <f>PERNEM!I50</f>
        <v>28542.746529681222</v>
      </c>
      <c r="K722" s="136">
        <f>PERNEM!J50</f>
        <v>16281.757360274478</v>
      </c>
      <c r="L722" s="136">
        <f>PERNEM!K50</f>
        <v>2576.9594910803244</v>
      </c>
      <c r="M722" s="136">
        <f>PERNEM!L50</f>
        <v>5462.992677286314</v>
      </c>
      <c r="N722" s="136">
        <f>PERNEM!M50</f>
        <v>8064.417761708368</v>
      </c>
      <c r="O722" s="136">
        <f>PERNEM!N50</f>
        <v>232</v>
      </c>
      <c r="P722" s="136">
        <f>PERNEM!O50</f>
        <v>1437</v>
      </c>
      <c r="Q722" s="136">
        <f>PERNEM!P50</f>
        <v>2969</v>
      </c>
      <c r="R722" s="136">
        <f>PERNEM!R50</f>
        <v>65566.87382003071</v>
      </c>
      <c r="T722" s="66">
        <v>24443.4712070039</v>
      </c>
      <c r="U722" s="66">
        <v>5954.18340095759</v>
      </c>
      <c r="V722" s="66">
        <v>30396.6546079615</v>
      </c>
      <c r="W722" s="66">
        <v>3776.28931761159</v>
      </c>
      <c r="X722" s="66">
        <v>27170.2575780512</v>
      </c>
      <c r="Y722" s="66">
        <v>61343.2015036242</v>
      </c>
    </row>
    <row r="723" spans="1:25" ht="18.75">
      <c r="A723" s="138"/>
      <c r="B723" s="138">
        <v>36</v>
      </c>
      <c r="C723" s="138" t="s">
        <v>420</v>
      </c>
      <c r="D723" s="137" t="s">
        <v>508</v>
      </c>
      <c r="E723" s="136">
        <f>PERNEM!D51</f>
        <v>37295.35533294749</v>
      </c>
      <c r="F723" s="136">
        <f>PERNEM!E51</f>
        <v>27650.1295821925</v>
      </c>
      <c r="G723" s="136">
        <f>PERNEM!F51</f>
        <v>64945.48491513999</v>
      </c>
      <c r="H723" s="136">
        <f>PERNEM!G51</f>
        <v>3346.955609736653</v>
      </c>
      <c r="I723" s="136">
        <f>PERNEM!H51</f>
        <v>3134.8961288019173</v>
      </c>
      <c r="J723" s="136">
        <f>PERNEM!I51</f>
        <v>71427.33665367856</v>
      </c>
      <c r="K723" s="136">
        <f>PERNEM!J51</f>
        <v>39886.85112870633</v>
      </c>
      <c r="L723" s="136">
        <f>PERNEM!K51</f>
        <v>9129.952075053046</v>
      </c>
      <c r="M723" s="136">
        <f>PERNEM!L51</f>
        <v>17762.108623717377</v>
      </c>
      <c r="N723" s="136">
        <f>PERNEM!M51</f>
        <v>26220.255587392323</v>
      </c>
      <c r="O723" s="136">
        <f>PERNEM!N51</f>
        <v>232</v>
      </c>
      <c r="P723" s="136">
        <f>PERNEM!O51</f>
        <v>1437</v>
      </c>
      <c r="Q723" s="136">
        <f>PERNEM!P51</f>
        <v>2969</v>
      </c>
      <c r="R723" s="136">
        <f>PERNEM!R51</f>
        <v>169064.50406854763</v>
      </c>
      <c r="T723" s="66">
        <v>41436.6900756276</v>
      </c>
      <c r="U723" s="66">
        <v>31063.9638624876</v>
      </c>
      <c r="V723" s="66">
        <v>72500.6539381153</v>
      </c>
      <c r="W723" s="66">
        <v>9251.10763522386</v>
      </c>
      <c r="X723" s="66">
        <v>88340.053692961</v>
      </c>
      <c r="Y723" s="66">
        <v>170091.8152663</v>
      </c>
    </row>
    <row r="724" spans="1:25" ht="18.75">
      <c r="A724" s="138"/>
      <c r="B724" s="138"/>
      <c r="C724" s="138" t="s">
        <v>421</v>
      </c>
      <c r="D724" s="137" t="s">
        <v>508</v>
      </c>
      <c r="E724" s="136">
        <f>PERNEM!D52</f>
        <v>47391.63450618044</v>
      </c>
      <c r="F724" s="136">
        <f>PERNEM!E52</f>
        <v>15052.478003296792</v>
      </c>
      <c r="G724" s="136">
        <f>PERNEM!F52</f>
        <v>62444.11250947723</v>
      </c>
      <c r="H724" s="136">
        <f>PERNEM!G52</f>
        <v>1822.0520646680068</v>
      </c>
      <c r="I724" s="136">
        <f>PERNEM!H52</f>
        <v>1706.6088200831273</v>
      </c>
      <c r="J724" s="136">
        <f>PERNEM!I52</f>
        <v>65972.77339422837</v>
      </c>
      <c r="K724" s="136">
        <f>PERNEM!J52</f>
        <v>593.7633541260792</v>
      </c>
      <c r="L724" s="136">
        <f>PERNEM!K52</f>
        <v>9623.378203555932</v>
      </c>
      <c r="M724" s="136">
        <f>PERNEM!L52</f>
        <v>17752.06852906724</v>
      </c>
      <c r="N724" s="136">
        <f>PERNEM!M52</f>
        <v>26205.434495289737</v>
      </c>
      <c r="O724" s="136">
        <f>PERNEM!N52</f>
        <v>232</v>
      </c>
      <c r="P724" s="136">
        <f>PERNEM!O52</f>
        <v>1437</v>
      </c>
      <c r="Q724" s="136">
        <f>PERNEM!P52</f>
        <v>2969</v>
      </c>
      <c r="R724" s="136">
        <f>PERNEM!R52</f>
        <v>124785.41797626736</v>
      </c>
      <c r="T724" s="66">
        <v>52654.0759212233</v>
      </c>
      <c r="U724" s="66">
        <v>16910.9382053834</v>
      </c>
      <c r="V724" s="66">
        <v>69565.0141266067</v>
      </c>
      <c r="W724" s="66">
        <v>138.873440251629</v>
      </c>
      <c r="X724" s="66">
        <v>88290.1191655203</v>
      </c>
      <c r="Y724" s="66">
        <v>157994.006732379</v>
      </c>
    </row>
    <row r="725" spans="1:25" ht="18.75">
      <c r="A725" s="138"/>
      <c r="B725" s="138">
        <v>37</v>
      </c>
      <c r="C725" s="138" t="s">
        <v>525</v>
      </c>
      <c r="D725" s="137" t="s">
        <v>508</v>
      </c>
      <c r="E725" s="136">
        <f>PERNEM!D53</f>
        <v>421.2975722043309</v>
      </c>
      <c r="F725" s="136">
        <f>PERNEM!E53</f>
        <v>1905.8237096788478</v>
      </c>
      <c r="G725" s="136">
        <f>PERNEM!F53</f>
        <v>2327.1212818831787</v>
      </c>
      <c r="H725" s="136">
        <f>PERNEM!G53</f>
        <v>230.69357911388647</v>
      </c>
      <c r="I725" s="136">
        <f>PERNEM!H53</f>
        <v>216.07708390267078</v>
      </c>
      <c r="J725" s="136">
        <f>PERNEM!I53</f>
        <v>2773.891944899736</v>
      </c>
      <c r="K725" s="136">
        <f>PERNEM!J53</f>
        <v>0</v>
      </c>
      <c r="L725" s="136">
        <f>PERNEM!K53</f>
        <v>1508.1234611041366</v>
      </c>
      <c r="M725" s="136">
        <f>PERNEM!L53</f>
        <v>2303.3158315045</v>
      </c>
      <c r="N725" s="136">
        <f>PERNEM!M53</f>
        <v>3400.13289412569</v>
      </c>
      <c r="O725" s="136">
        <f>PERNEM!N53</f>
        <v>232</v>
      </c>
      <c r="P725" s="136">
        <f>PERNEM!O53</f>
        <v>1437</v>
      </c>
      <c r="Q725" s="136">
        <f>PERNEM!P53</f>
        <v>2969</v>
      </c>
      <c r="R725" s="136">
        <f>PERNEM!R53</f>
        <v>14623.464131634064</v>
      </c>
      <c r="T725" s="66">
        <v>468.0791153</v>
      </c>
      <c r="U725" s="66">
        <v>2141.12699435101</v>
      </c>
      <c r="V725" s="66">
        <v>2609.20610965101</v>
      </c>
      <c r="W725" s="66">
        <v>0</v>
      </c>
      <c r="X725" s="66">
        <v>11455.5680599351</v>
      </c>
      <c r="Y725" s="66">
        <v>14064.7741695861</v>
      </c>
    </row>
    <row r="726" spans="1:25" s="80" customFormat="1" ht="18.75">
      <c r="A726" s="138">
        <v>6</v>
      </c>
      <c r="B726" s="138"/>
      <c r="C726" s="138" t="s">
        <v>78</v>
      </c>
      <c r="D726" s="137"/>
      <c r="E726" s="136">
        <f aca="true" t="shared" si="40" ref="E726:R726">SUM(E719:E725)</f>
        <v>181823.36141033174</v>
      </c>
      <c r="F726" s="136">
        <f t="shared" si="40"/>
        <v>103281.13570713309</v>
      </c>
      <c r="G726" s="136">
        <f t="shared" si="40"/>
        <v>285104.49711746484</v>
      </c>
      <c r="H726" s="136">
        <f t="shared" si="40"/>
        <v>12497.83567883125</v>
      </c>
      <c r="I726" s="136">
        <f t="shared" si="40"/>
        <v>11705.73291622756</v>
      </c>
      <c r="J726" s="136">
        <f t="shared" si="40"/>
        <v>309308.06571252365</v>
      </c>
      <c r="K726" s="136">
        <f t="shared" si="40"/>
        <v>128982.44409462124</v>
      </c>
      <c r="L726" s="136">
        <f t="shared" si="40"/>
        <v>39938.99207904806</v>
      </c>
      <c r="M726" s="136">
        <f t="shared" si="40"/>
        <v>73992.55153890976</v>
      </c>
      <c r="N726" s="136">
        <f t="shared" si="40"/>
        <v>109207.90941458107</v>
      </c>
      <c r="O726" s="136">
        <f t="shared" si="40"/>
        <v>1624</v>
      </c>
      <c r="P726" s="136">
        <f t="shared" si="40"/>
        <v>10059</v>
      </c>
      <c r="Q726" s="136">
        <f t="shared" si="40"/>
        <v>20783</v>
      </c>
      <c r="R726" s="136">
        <f t="shared" si="40"/>
        <v>693895.9628396838</v>
      </c>
      <c r="T726" s="81">
        <v>202013.312596406</v>
      </c>
      <c r="U726" s="81">
        <v>116031.782332757</v>
      </c>
      <c r="V726" s="81">
        <v>318045.094929162</v>
      </c>
      <c r="W726" s="81">
        <v>29916.5438018988</v>
      </c>
      <c r="X726" s="81">
        <v>367938.159459397</v>
      </c>
      <c r="Y726" s="81">
        <v>715899.798190459</v>
      </c>
    </row>
    <row r="727" spans="1:25" ht="18.75">
      <c r="A727" s="138"/>
      <c r="B727" s="138"/>
      <c r="C727" s="138"/>
      <c r="D727" s="141"/>
      <c r="E727" s="138"/>
      <c r="F727" s="138"/>
      <c r="G727" s="138"/>
      <c r="H727" s="138"/>
      <c r="I727" s="138"/>
      <c r="J727" s="138"/>
      <c r="K727" s="138"/>
      <c r="L727" s="138"/>
      <c r="M727" s="138"/>
      <c r="N727" s="138"/>
      <c r="O727" s="138"/>
      <c r="P727" s="138"/>
      <c r="Q727" s="138"/>
      <c r="R727" s="138"/>
      <c r="T727" s="67"/>
      <c r="U727" s="67"/>
      <c r="V727" s="67"/>
      <c r="W727" s="67"/>
      <c r="X727" s="67"/>
      <c r="Y727" s="67"/>
    </row>
    <row r="728" spans="1:25" ht="18.75">
      <c r="A728" s="145">
        <v>37</v>
      </c>
      <c r="B728" s="143"/>
      <c r="C728" s="143" t="s">
        <v>17</v>
      </c>
      <c r="D728" s="144"/>
      <c r="E728" s="145">
        <f aca="true" t="shared" si="41" ref="E728:R728">E689+E699+E708+E716+E726</f>
        <v>440873.7095987047</v>
      </c>
      <c r="F728" s="145">
        <f t="shared" si="41"/>
        <v>524671.416057133</v>
      </c>
      <c r="G728" s="145">
        <f t="shared" si="41"/>
        <v>965545.1256558376</v>
      </c>
      <c r="H728" s="145">
        <f t="shared" si="41"/>
        <v>63511.71824637828</v>
      </c>
      <c r="I728" s="145">
        <f t="shared" si="41"/>
        <v>59459.81131242942</v>
      </c>
      <c r="J728" s="145">
        <f t="shared" si="41"/>
        <v>1088516.6552146454</v>
      </c>
      <c r="K728" s="145">
        <f t="shared" si="41"/>
        <v>500450.6572269251</v>
      </c>
      <c r="L728" s="145">
        <f t="shared" si="41"/>
        <v>166765.91615960302</v>
      </c>
      <c r="M728" s="145">
        <f t="shared" si="41"/>
        <v>270297.6719528482</v>
      </c>
      <c r="N728" s="145">
        <f t="shared" si="41"/>
        <v>392868.610978014</v>
      </c>
      <c r="O728" s="145">
        <f t="shared" si="41"/>
        <v>5175.049166666668</v>
      </c>
      <c r="P728" s="145">
        <f t="shared" si="41"/>
        <v>31859.333333333332</v>
      </c>
      <c r="Q728" s="145">
        <f t="shared" si="41"/>
        <v>65636.65625</v>
      </c>
      <c r="R728" s="145">
        <f t="shared" si="41"/>
        <v>2521570.5502820355</v>
      </c>
      <c r="T728" s="71">
        <v>475883.602054154</v>
      </c>
      <c r="U728" s="71">
        <v>668290.94116377</v>
      </c>
      <c r="V728" s="71">
        <v>1144174.54321792</v>
      </c>
      <c r="W728" s="71">
        <v>137407.514599219</v>
      </c>
      <c r="X728" s="71">
        <v>1968855.83585545</v>
      </c>
      <c r="Y728" s="71">
        <v>3250438.89367259</v>
      </c>
    </row>
    <row r="729" spans="1:25" ht="18.75">
      <c r="A729" s="138"/>
      <c r="B729" s="138"/>
      <c r="C729" s="138"/>
      <c r="D729" s="141"/>
      <c r="E729" s="138"/>
      <c r="F729" s="138"/>
      <c r="G729" s="138"/>
      <c r="H729" s="138"/>
      <c r="I729" s="138"/>
      <c r="J729" s="138"/>
      <c r="K729" s="138"/>
      <c r="L729" s="138"/>
      <c r="M729" s="138"/>
      <c r="N729" s="138"/>
      <c r="O729" s="138"/>
      <c r="P729" s="138"/>
      <c r="Q729" s="138"/>
      <c r="R729" s="138"/>
      <c r="T729" s="67"/>
      <c r="U729" s="67"/>
      <c r="V729" s="67"/>
      <c r="W729" s="67"/>
      <c r="X729" s="67"/>
      <c r="Y729" s="67"/>
    </row>
    <row r="730" spans="1:25" ht="18.75">
      <c r="A730" s="138"/>
      <c r="B730" s="138"/>
      <c r="C730" s="143" t="s">
        <v>490</v>
      </c>
      <c r="D730" s="141"/>
      <c r="E730" s="138"/>
      <c r="F730" s="138"/>
      <c r="G730" s="138"/>
      <c r="H730" s="138"/>
      <c r="I730" s="138"/>
      <c r="J730" s="138"/>
      <c r="K730" s="138"/>
      <c r="L730" s="138"/>
      <c r="M730" s="138"/>
      <c r="N730" s="138"/>
      <c r="O730" s="138"/>
      <c r="P730" s="138"/>
      <c r="Q730" s="138"/>
      <c r="R730" s="138"/>
      <c r="T730" s="67"/>
      <c r="U730" s="67"/>
      <c r="V730" s="67"/>
      <c r="W730" s="67"/>
      <c r="X730" s="67"/>
      <c r="Y730" s="67"/>
    </row>
    <row r="731" spans="1:25" ht="18.75">
      <c r="A731" s="138"/>
      <c r="B731" s="138"/>
      <c r="C731" s="138" t="s">
        <v>41</v>
      </c>
      <c r="D731" s="141"/>
      <c r="E731" s="138"/>
      <c r="F731" s="138"/>
      <c r="G731" s="138"/>
      <c r="H731" s="138"/>
      <c r="I731" s="138"/>
      <c r="J731" s="138"/>
      <c r="K731" s="138"/>
      <c r="L731" s="138"/>
      <c r="M731" s="138"/>
      <c r="N731" s="138"/>
      <c r="O731" s="138"/>
      <c r="P731" s="138"/>
      <c r="Q731" s="138"/>
      <c r="R731" s="138"/>
      <c r="T731" s="67"/>
      <c r="U731" s="67"/>
      <c r="V731" s="67"/>
      <c r="W731" s="67"/>
      <c r="X731" s="67"/>
      <c r="Y731" s="67"/>
    </row>
    <row r="732" spans="1:25" ht="18.75">
      <c r="A732" s="138"/>
      <c r="B732" s="138">
        <v>1</v>
      </c>
      <c r="C732" s="138" t="s">
        <v>158</v>
      </c>
      <c r="D732" s="137" t="s">
        <v>507</v>
      </c>
      <c r="E732" s="136">
        <f>'TISWADI '!D182</f>
        <v>0</v>
      </c>
      <c r="F732" s="136">
        <f>'TISWADI '!E182</f>
        <v>0</v>
      </c>
      <c r="G732" s="136">
        <f>'TISWADI '!F182</f>
        <v>0</v>
      </c>
      <c r="H732" s="136">
        <f>'TISWADI '!G182</f>
        <v>0</v>
      </c>
      <c r="I732" s="136">
        <f>'TISWADI '!H182</f>
        <v>0</v>
      </c>
      <c r="J732" s="136">
        <f>'TISWADI '!I182</f>
        <v>0</v>
      </c>
      <c r="K732" s="136">
        <f>'TISWADI '!J182</f>
        <v>317523.05522506987</v>
      </c>
      <c r="L732" s="136">
        <f>'TISWADI '!K182</f>
        <v>47238.92281009778</v>
      </c>
      <c r="M732" s="136">
        <f>'TISWADI '!L182</f>
        <v>70716.71847360386</v>
      </c>
      <c r="N732" s="136">
        <f>'TISWADI '!M182</f>
        <v>106502.29869912952</v>
      </c>
      <c r="O732" s="136">
        <f>'TISWADI '!N182</f>
        <v>44</v>
      </c>
      <c r="P732" s="136">
        <f>'TISWADI '!O182</f>
        <v>274</v>
      </c>
      <c r="Q732" s="136">
        <f>'TISWADI '!P182</f>
        <v>572</v>
      </c>
      <c r="R732" s="136">
        <f>'TISWADI '!S182</f>
        <v>542870.995207901</v>
      </c>
      <c r="T732" s="66">
        <v>0</v>
      </c>
      <c r="U732" s="66">
        <v>0</v>
      </c>
      <c r="V732" s="66">
        <v>0</v>
      </c>
      <c r="W732" s="66">
        <v>73644.3183011304</v>
      </c>
      <c r="X732" s="66">
        <v>358817.764888603</v>
      </c>
      <c r="Y732" s="66">
        <v>432462.083189733</v>
      </c>
    </row>
    <row r="733" spans="1:25" ht="18.75">
      <c r="A733" s="138"/>
      <c r="B733" s="138">
        <v>2</v>
      </c>
      <c r="C733" s="138" t="s">
        <v>159</v>
      </c>
      <c r="D733" s="137" t="s">
        <v>507</v>
      </c>
      <c r="E733" s="136">
        <f>'TISWADI '!D183</f>
        <v>200</v>
      </c>
      <c r="F733" s="136">
        <f>'TISWADI '!E183</f>
        <v>0</v>
      </c>
      <c r="G733" s="136">
        <f>'TISWADI '!F183</f>
        <v>200</v>
      </c>
      <c r="H733" s="136">
        <f>'TISWADI '!G183</f>
        <v>0</v>
      </c>
      <c r="I733" s="136">
        <f>'TISWADI '!H183</f>
        <v>0</v>
      </c>
      <c r="J733" s="136">
        <f>'TISWADI '!I183</f>
        <v>200</v>
      </c>
      <c r="K733" s="136">
        <f>'TISWADI '!J183</f>
        <v>0</v>
      </c>
      <c r="L733" s="136">
        <f>'TISWADI '!K183</f>
        <v>3840.7388902068656</v>
      </c>
      <c r="M733" s="136">
        <f>'TISWADI '!L183</f>
        <v>5865.855759588668</v>
      </c>
      <c r="N733" s="136">
        <f>'TISWADI '!M183</f>
        <v>8659.120407011844</v>
      </c>
      <c r="O733" s="136">
        <f>'TISWADI '!N183</f>
        <v>44</v>
      </c>
      <c r="P733" s="136">
        <f>'TISWADI '!O183</f>
        <v>274</v>
      </c>
      <c r="Q733" s="136">
        <f>'TISWADI '!P183</f>
        <v>572</v>
      </c>
      <c r="R733" s="136">
        <f>'TISWADI '!S183</f>
        <v>19455.715056807378</v>
      </c>
      <c r="T733" s="66">
        <v>0</v>
      </c>
      <c r="U733" s="66">
        <v>0</v>
      </c>
      <c r="V733" s="66">
        <v>0</v>
      </c>
      <c r="W733" s="66">
        <v>0</v>
      </c>
      <c r="X733" s="66">
        <v>29173.513325968</v>
      </c>
      <c r="Y733" s="66">
        <v>29173.513325968</v>
      </c>
    </row>
    <row r="734" spans="1:25" ht="18.75">
      <c r="A734" s="138"/>
      <c r="B734" s="138">
        <v>3</v>
      </c>
      <c r="C734" s="138" t="s">
        <v>160</v>
      </c>
      <c r="D734" s="137" t="s">
        <v>507</v>
      </c>
      <c r="E734" s="136">
        <f>'TISWADI '!D184</f>
        <v>0</v>
      </c>
      <c r="F734" s="136">
        <f>'TISWADI '!E184</f>
        <v>0</v>
      </c>
      <c r="G734" s="136">
        <f>'TISWADI '!F184</f>
        <v>0</v>
      </c>
      <c r="H734" s="136">
        <f>'TISWADI '!G184</f>
        <v>0</v>
      </c>
      <c r="I734" s="136">
        <f>'TISWADI '!H184</f>
        <v>0</v>
      </c>
      <c r="J734" s="136">
        <f>'TISWADI '!I184</f>
        <v>0</v>
      </c>
      <c r="K734" s="136">
        <f>'TISWADI '!J184</f>
        <v>0</v>
      </c>
      <c r="L734" s="136">
        <f>'TISWADI '!K184</f>
        <v>1640.782834388622</v>
      </c>
      <c r="M734" s="136">
        <f>'TISWADI '!L184</f>
        <v>2505.9228743389863</v>
      </c>
      <c r="N734" s="136">
        <f>'TISWADI '!M184</f>
        <v>3699.219481167075</v>
      </c>
      <c r="O734" s="136">
        <f>'TISWADI '!N184</f>
        <v>44</v>
      </c>
      <c r="P734" s="136">
        <f>'TISWADI '!O184</f>
        <v>274</v>
      </c>
      <c r="Q734" s="136">
        <f>'TISWADI '!P184</f>
        <v>572</v>
      </c>
      <c r="R734" s="136">
        <f>'TISWADI '!S184</f>
        <v>8735.925189894682</v>
      </c>
      <c r="T734" s="66">
        <v>0</v>
      </c>
      <c r="U734" s="66">
        <v>0</v>
      </c>
      <c r="V734" s="66">
        <v>0</v>
      </c>
      <c r="W734" s="66">
        <v>0</v>
      </c>
      <c r="X734" s="66">
        <v>12463.0705841807</v>
      </c>
      <c r="Y734" s="66">
        <v>12463.0705841807</v>
      </c>
    </row>
    <row r="735" spans="1:25" ht="18.75">
      <c r="A735" s="138"/>
      <c r="B735" s="138">
        <v>4</v>
      </c>
      <c r="C735" s="138" t="s">
        <v>161</v>
      </c>
      <c r="D735" s="137" t="s">
        <v>507</v>
      </c>
      <c r="E735" s="136">
        <f>'TISWADI '!D185</f>
        <v>0</v>
      </c>
      <c r="F735" s="136">
        <f>'TISWADI '!E185</f>
        <v>0</v>
      </c>
      <c r="G735" s="136">
        <f>'TISWADI '!F185</f>
        <v>0</v>
      </c>
      <c r="H735" s="136">
        <f>'TISWADI '!G185</f>
        <v>0</v>
      </c>
      <c r="I735" s="136">
        <f>'TISWADI '!H185</f>
        <v>0</v>
      </c>
      <c r="J735" s="136">
        <f>'TISWADI '!I185</f>
        <v>0</v>
      </c>
      <c r="K735" s="136">
        <f>'TISWADI '!J185</f>
        <v>47382.907735169</v>
      </c>
      <c r="L735" s="136">
        <f>'TISWADI '!K185</f>
        <v>8534.158937573045</v>
      </c>
      <c r="M735" s="136">
        <f>'TISWADI '!L185</f>
        <v>13033.988195566104</v>
      </c>
      <c r="N735" s="136">
        <f>'TISWADI '!M185</f>
        <v>19240.649241073774</v>
      </c>
      <c r="O735" s="136">
        <f>'TISWADI '!N185</f>
        <v>44</v>
      </c>
      <c r="P735" s="136">
        <f>'TISWADI '!O185</f>
        <v>274</v>
      </c>
      <c r="Q735" s="136">
        <f>'TISWADI '!P185</f>
        <v>572</v>
      </c>
      <c r="R735" s="136">
        <f>'TISWADI '!S185</f>
        <v>89081.70410938193</v>
      </c>
      <c r="T735" s="66">
        <v>0</v>
      </c>
      <c r="U735" s="66">
        <v>0</v>
      </c>
      <c r="V735" s="66">
        <v>0</v>
      </c>
      <c r="W735" s="66">
        <v>10989.6962814509</v>
      </c>
      <c r="X735" s="66">
        <v>64823.8285935148</v>
      </c>
      <c r="Y735" s="66">
        <v>75813.5248749657</v>
      </c>
    </row>
    <row r="736" spans="1:25" ht="18.75">
      <c r="A736" s="138"/>
      <c r="B736" s="138">
        <v>5</v>
      </c>
      <c r="C736" s="138" t="s">
        <v>162</v>
      </c>
      <c r="D736" s="137" t="s">
        <v>507</v>
      </c>
      <c r="E736" s="136">
        <f>'TISWADI '!D186</f>
        <v>0</v>
      </c>
      <c r="F736" s="136">
        <f>'TISWADI '!E186</f>
        <v>0</v>
      </c>
      <c r="G736" s="136">
        <f>'TISWADI '!F186</f>
        <v>0</v>
      </c>
      <c r="H736" s="136">
        <f>'TISWADI '!G186</f>
        <v>0</v>
      </c>
      <c r="I736" s="136">
        <f>'TISWADI '!H186</f>
        <v>0</v>
      </c>
      <c r="J736" s="136">
        <f>'TISWADI '!I186</f>
        <v>0</v>
      </c>
      <c r="K736" s="136">
        <f>'TISWADI '!J186</f>
        <v>1542.9671048633543</v>
      </c>
      <c r="L736" s="136">
        <f>'TISWADI '!K186</f>
        <v>6130.410151676342</v>
      </c>
      <c r="M736" s="136">
        <f>'TISWADI '!L186</f>
        <v>9362.80823165114</v>
      </c>
      <c r="N736" s="136">
        <f>'TISWADI '!M186</f>
        <v>13821.288341961208</v>
      </c>
      <c r="O736" s="136">
        <f>'TISWADI '!N186</f>
        <v>44</v>
      </c>
      <c r="P736" s="136">
        <f>'TISWADI '!O186</f>
        <v>274</v>
      </c>
      <c r="Q736" s="136">
        <f>'TISWADI '!P186</f>
        <v>572</v>
      </c>
      <c r="R736" s="136">
        <f>'TISWADI '!S186</f>
        <v>31747.473830152045</v>
      </c>
      <c r="T736" s="66">
        <v>0</v>
      </c>
      <c r="U736" s="66">
        <v>0</v>
      </c>
      <c r="V736" s="66">
        <v>0</v>
      </c>
      <c r="W736" s="66">
        <v>357.86617295612</v>
      </c>
      <c r="X736" s="66">
        <v>46565.4155010643</v>
      </c>
      <c r="Y736" s="66">
        <v>46923.2816740204</v>
      </c>
    </row>
    <row r="737" spans="1:25" ht="18.75">
      <c r="A737" s="138">
        <v>5</v>
      </c>
      <c r="B737" s="138"/>
      <c r="C737" s="138" t="s">
        <v>78</v>
      </c>
      <c r="D737" s="137"/>
      <c r="E737" s="136">
        <f>'TISWADI '!D187</f>
        <v>200</v>
      </c>
      <c r="F737" s="136">
        <f>'TISWADI '!E187</f>
        <v>0</v>
      </c>
      <c r="G737" s="136">
        <f>'TISWADI '!F187</f>
        <v>200</v>
      </c>
      <c r="H737" s="136">
        <f>'TISWADI '!G187</f>
        <v>0</v>
      </c>
      <c r="I737" s="136">
        <f>'TISWADI '!H187</f>
        <v>0</v>
      </c>
      <c r="J737" s="136">
        <f>'TISWADI '!I187</f>
        <v>200</v>
      </c>
      <c r="K737" s="136">
        <f>'TISWADI '!J187</f>
        <v>366448.93006510223</v>
      </c>
      <c r="L737" s="136">
        <f>'TISWADI '!K187</f>
        <v>67385.01362394265</v>
      </c>
      <c r="M737" s="136">
        <f>'TISWADI '!L187</f>
        <v>101485.29353474875</v>
      </c>
      <c r="N737" s="136">
        <f>'TISWADI '!M187</f>
        <v>151922.5761703434</v>
      </c>
      <c r="O737" s="136">
        <f>'TISWADI '!N187</f>
        <v>220</v>
      </c>
      <c r="P737" s="136">
        <f>'TISWADI '!O187</f>
        <v>1370</v>
      </c>
      <c r="Q737" s="136">
        <f>'TISWADI '!P187</f>
        <v>2860</v>
      </c>
      <c r="R737" s="136">
        <f>'TISWADI '!S187</f>
        <v>691891.813394137</v>
      </c>
      <c r="T737" s="66">
        <v>0</v>
      </c>
      <c r="U737" s="66">
        <v>0</v>
      </c>
      <c r="V737" s="66">
        <v>0</v>
      </c>
      <c r="W737" s="66">
        <v>84991.8807555374</v>
      </c>
      <c r="X737" s="66">
        <v>511843.592893331</v>
      </c>
      <c r="Y737" s="66">
        <v>596836.473648868</v>
      </c>
    </row>
    <row r="738" spans="1:25" ht="18.75">
      <c r="A738" s="138"/>
      <c r="B738" s="138"/>
      <c r="C738" s="138"/>
      <c r="D738" s="141"/>
      <c r="E738" s="138"/>
      <c r="F738" s="138"/>
      <c r="G738" s="138"/>
      <c r="H738" s="138"/>
      <c r="I738" s="138"/>
      <c r="J738" s="138"/>
      <c r="K738" s="138"/>
      <c r="L738" s="138"/>
      <c r="M738" s="138"/>
      <c r="N738" s="138"/>
      <c r="O738" s="138"/>
      <c r="P738" s="138"/>
      <c r="Q738" s="138"/>
      <c r="R738" s="138"/>
      <c r="T738" s="67"/>
      <c r="U738" s="67"/>
      <c r="V738" s="67"/>
      <c r="W738" s="67"/>
      <c r="X738" s="67"/>
      <c r="Y738" s="67"/>
    </row>
    <row r="739" spans="1:25" ht="18.75">
      <c r="A739" s="138"/>
      <c r="B739" s="138"/>
      <c r="C739" s="138" t="s">
        <v>42</v>
      </c>
      <c r="D739" s="141"/>
      <c r="E739" s="138"/>
      <c r="F739" s="138"/>
      <c r="G739" s="138"/>
      <c r="H739" s="138"/>
      <c r="I739" s="138"/>
      <c r="J739" s="138"/>
      <c r="K739" s="138"/>
      <c r="L739" s="138"/>
      <c r="M739" s="138"/>
      <c r="N739" s="138"/>
      <c r="O739" s="138"/>
      <c r="P739" s="138"/>
      <c r="Q739" s="138"/>
      <c r="R739" s="138"/>
      <c r="T739" s="67"/>
      <c r="U739" s="67"/>
      <c r="V739" s="67"/>
      <c r="W739" s="67"/>
      <c r="X739" s="67"/>
      <c r="Y739" s="67"/>
    </row>
    <row r="740" spans="1:25" ht="18.75">
      <c r="A740" s="138"/>
      <c r="B740" s="138">
        <v>6</v>
      </c>
      <c r="C740" s="138" t="s">
        <v>304</v>
      </c>
      <c r="D740" s="137" t="s">
        <v>507</v>
      </c>
      <c r="E740" s="136">
        <f>BARDEZ!D162</f>
        <v>0</v>
      </c>
      <c r="F740" s="136">
        <f>BARDEZ!E162</f>
        <v>0</v>
      </c>
      <c r="G740" s="136">
        <f>BARDEZ!F162</f>
        <v>0</v>
      </c>
      <c r="H740" s="136">
        <f>BARDEZ!G162</f>
        <v>0</v>
      </c>
      <c r="I740" s="136">
        <f>BARDEZ!H162</f>
        <v>0</v>
      </c>
      <c r="J740" s="136">
        <f>BARDEZ!I162</f>
        <v>0</v>
      </c>
      <c r="K740" s="136">
        <f>BARDEZ!J162</f>
        <v>108894.3276917365</v>
      </c>
      <c r="L740" s="136">
        <f>BARDEZ!K162</f>
        <v>30611.833597227727</v>
      </c>
      <c r="M740" s="136">
        <f>BARDEZ!L162</f>
        <v>46752.61858485689</v>
      </c>
      <c r="N740" s="136">
        <f>BARDEZ!M162</f>
        <v>69015.7702919316</v>
      </c>
      <c r="O740" s="136">
        <f>BARDEZ!N162</f>
        <v>39.2375</v>
      </c>
      <c r="P740" s="136">
        <f>BARDEZ!O162</f>
        <v>240</v>
      </c>
      <c r="Q740" s="136">
        <f>BARDEZ!P162</f>
        <v>501.09375</v>
      </c>
      <c r="R740" s="136">
        <f>BARDEZ!R162</f>
        <v>256054.8814157527</v>
      </c>
      <c r="T740" s="66">
        <v>0</v>
      </c>
      <c r="U740" s="66">
        <v>0</v>
      </c>
      <c r="V740" s="66">
        <v>0</v>
      </c>
      <c r="W740" s="66">
        <v>25256.271624224</v>
      </c>
      <c r="X740" s="66">
        <v>232521.59569039</v>
      </c>
      <c r="Y740" s="66">
        <v>257777.867314614</v>
      </c>
    </row>
    <row r="741" spans="1:25" ht="18.75">
      <c r="A741" s="138"/>
      <c r="B741" s="138">
        <v>7</v>
      </c>
      <c r="C741" s="138" t="s">
        <v>305</v>
      </c>
      <c r="D741" s="137" t="s">
        <v>507</v>
      </c>
      <c r="E741" s="136">
        <f>BARDEZ!D163</f>
        <v>0</v>
      </c>
      <c r="F741" s="136">
        <f>BARDEZ!E163</f>
        <v>0</v>
      </c>
      <c r="G741" s="136">
        <f>BARDEZ!F163</f>
        <v>0</v>
      </c>
      <c r="H741" s="136">
        <f>BARDEZ!G163</f>
        <v>0</v>
      </c>
      <c r="I741" s="136">
        <f>BARDEZ!H163</f>
        <v>0</v>
      </c>
      <c r="J741" s="136">
        <f>BARDEZ!I163</f>
        <v>0</v>
      </c>
      <c r="K741" s="136">
        <f>BARDEZ!J163</f>
        <v>0</v>
      </c>
      <c r="L741" s="136">
        <f>BARDEZ!K163</f>
        <v>2136.923389778818</v>
      </c>
      <c r="M741" s="136">
        <f>BARDEZ!L163</f>
        <v>3263.664813480377</v>
      </c>
      <c r="N741" s="136">
        <f>BARDEZ!M163</f>
        <v>4817.790915137699</v>
      </c>
      <c r="O741" s="136">
        <f>BARDEZ!N163</f>
        <v>39.2375</v>
      </c>
      <c r="P741" s="136">
        <f>BARDEZ!O163</f>
        <v>240</v>
      </c>
      <c r="Q741" s="136">
        <f>BARDEZ!P163</f>
        <v>501.09375</v>
      </c>
      <c r="R741" s="136">
        <f>BARDEZ!R163</f>
        <v>10998.710368396893</v>
      </c>
      <c r="T741" s="66">
        <v>0</v>
      </c>
      <c r="U741" s="66">
        <v>0</v>
      </c>
      <c r="V741" s="66">
        <v>0</v>
      </c>
      <c r="W741" s="66">
        <v>0</v>
      </c>
      <c r="X741" s="66">
        <v>16231.658743385</v>
      </c>
      <c r="Y741" s="66">
        <v>16231.658743385</v>
      </c>
    </row>
    <row r="742" spans="1:25" ht="18.75">
      <c r="A742" s="138">
        <v>2</v>
      </c>
      <c r="B742" s="138"/>
      <c r="C742" s="138" t="s">
        <v>78</v>
      </c>
      <c r="D742" s="137"/>
      <c r="E742" s="136">
        <f>BARDEZ!D164</f>
        <v>0</v>
      </c>
      <c r="F742" s="136">
        <f>BARDEZ!E164</f>
        <v>0</v>
      </c>
      <c r="G742" s="136">
        <f>BARDEZ!F164</f>
        <v>0</v>
      </c>
      <c r="H742" s="136">
        <f>BARDEZ!G164</f>
        <v>0</v>
      </c>
      <c r="I742" s="136">
        <f>BARDEZ!H164</f>
        <v>0</v>
      </c>
      <c r="J742" s="136">
        <f>BARDEZ!I164</f>
        <v>0</v>
      </c>
      <c r="K742" s="136">
        <f>BARDEZ!J164</f>
        <v>108894.3276917365</v>
      </c>
      <c r="L742" s="136">
        <f>BARDEZ!K164</f>
        <v>32748.756987006545</v>
      </c>
      <c r="M742" s="136">
        <f>BARDEZ!L164</f>
        <v>50016.28339833727</v>
      </c>
      <c r="N742" s="136">
        <f>BARDEZ!M164</f>
        <v>73833.5612070693</v>
      </c>
      <c r="O742" s="136">
        <f>BARDEZ!N164</f>
        <v>78.475</v>
      </c>
      <c r="P742" s="136">
        <f>BARDEZ!O164</f>
        <v>480</v>
      </c>
      <c r="Q742" s="136">
        <f>BARDEZ!P164</f>
        <v>1002.1875</v>
      </c>
      <c r="R742" s="136">
        <f>BARDEZ!R164</f>
        <v>267053.5917841496</v>
      </c>
      <c r="T742" s="66">
        <v>0</v>
      </c>
      <c r="U742" s="66">
        <v>0</v>
      </c>
      <c r="V742" s="66">
        <v>0</v>
      </c>
      <c r="W742" s="66">
        <v>25256.271624224</v>
      </c>
      <c r="X742" s="66">
        <v>248754.254433775</v>
      </c>
      <c r="Y742" s="66">
        <v>274009.526057999</v>
      </c>
    </row>
    <row r="743" spans="1:25" ht="18.75">
      <c r="A743" s="138"/>
      <c r="B743" s="138"/>
      <c r="C743" s="138"/>
      <c r="D743" s="141"/>
      <c r="E743" s="136"/>
      <c r="F743" s="138"/>
      <c r="G743" s="138"/>
      <c r="H743" s="138"/>
      <c r="I743" s="138"/>
      <c r="J743" s="138"/>
      <c r="K743" s="138"/>
      <c r="L743" s="138"/>
      <c r="M743" s="138"/>
      <c r="N743" s="138"/>
      <c r="O743" s="138"/>
      <c r="P743" s="138"/>
      <c r="Q743" s="138"/>
      <c r="R743" s="138"/>
      <c r="T743" s="67"/>
      <c r="U743" s="67"/>
      <c r="V743" s="67"/>
      <c r="W743" s="67"/>
      <c r="X743" s="67"/>
      <c r="Y743" s="67"/>
    </row>
    <row r="744" spans="1:25" ht="18.75">
      <c r="A744" s="138"/>
      <c r="B744" s="138"/>
      <c r="C744" s="138"/>
      <c r="D744" s="141"/>
      <c r="E744" s="138"/>
      <c r="F744" s="138"/>
      <c r="G744" s="138"/>
      <c r="H744" s="138"/>
      <c r="I744" s="138"/>
      <c r="J744" s="138"/>
      <c r="K744" s="138"/>
      <c r="L744" s="138"/>
      <c r="M744" s="138"/>
      <c r="N744" s="138"/>
      <c r="O744" s="138"/>
      <c r="P744" s="138"/>
      <c r="Q744" s="138"/>
      <c r="R744" s="138"/>
      <c r="T744" s="67"/>
      <c r="U744" s="67"/>
      <c r="V744" s="67"/>
      <c r="W744" s="67"/>
      <c r="X744" s="67"/>
      <c r="Y744" s="67"/>
    </row>
    <row r="745" spans="1:25" ht="18.75">
      <c r="A745" s="145">
        <v>8</v>
      </c>
      <c r="B745" s="143"/>
      <c r="C745" s="143" t="s">
        <v>17</v>
      </c>
      <c r="D745" s="144"/>
      <c r="E745" s="145">
        <f aca="true" t="shared" si="42" ref="E745:R745">E737+E742</f>
        <v>200</v>
      </c>
      <c r="F745" s="145">
        <f t="shared" si="42"/>
        <v>0</v>
      </c>
      <c r="G745" s="145">
        <f t="shared" si="42"/>
        <v>200</v>
      </c>
      <c r="H745" s="145">
        <f t="shared" si="42"/>
        <v>0</v>
      </c>
      <c r="I745" s="145">
        <f t="shared" si="42"/>
        <v>0</v>
      </c>
      <c r="J745" s="145">
        <f t="shared" si="42"/>
        <v>200</v>
      </c>
      <c r="K745" s="145">
        <f t="shared" si="42"/>
        <v>475343.25775683875</v>
      </c>
      <c r="L745" s="145">
        <f t="shared" si="42"/>
        <v>100133.7706109492</v>
      </c>
      <c r="M745" s="145">
        <f t="shared" si="42"/>
        <v>151501.57693308603</v>
      </c>
      <c r="N745" s="145">
        <f t="shared" si="42"/>
        <v>225756.1373774127</v>
      </c>
      <c r="O745" s="145">
        <f t="shared" si="42"/>
        <v>298.475</v>
      </c>
      <c r="P745" s="145">
        <f t="shared" si="42"/>
        <v>1850</v>
      </c>
      <c r="Q745" s="145">
        <f t="shared" si="42"/>
        <v>3862.1875</v>
      </c>
      <c r="R745" s="145">
        <f t="shared" si="42"/>
        <v>958945.4051782866</v>
      </c>
      <c r="T745" s="71">
        <v>0</v>
      </c>
      <c r="U745" s="71">
        <v>0</v>
      </c>
      <c r="V745" s="71">
        <v>0</v>
      </c>
      <c r="W745" s="71">
        <v>165780.504621922</v>
      </c>
      <c r="X745" s="71">
        <v>1591229.33805242</v>
      </c>
      <c r="Y745" s="71">
        <v>1757009.84267435</v>
      </c>
    </row>
    <row r="746" spans="1:25" ht="18.75">
      <c r="A746" s="138"/>
      <c r="B746" s="138"/>
      <c r="C746" s="138"/>
      <c r="D746" s="141"/>
      <c r="E746" s="138"/>
      <c r="F746" s="138"/>
      <c r="G746" s="138"/>
      <c r="H746" s="138"/>
      <c r="I746" s="138"/>
      <c r="J746" s="138"/>
      <c r="K746" s="138"/>
      <c r="L746" s="138"/>
      <c r="M746" s="138"/>
      <c r="N746" s="138"/>
      <c r="O746" s="138"/>
      <c r="P746" s="138"/>
      <c r="Q746" s="138"/>
      <c r="R746" s="138"/>
      <c r="T746" s="67"/>
      <c r="U746" s="67"/>
      <c r="V746" s="67"/>
      <c r="W746" s="67"/>
      <c r="X746" s="67"/>
      <c r="Y746" s="67"/>
    </row>
    <row r="747" spans="1:25" ht="18.75">
      <c r="A747" s="138"/>
      <c r="B747" s="138"/>
      <c r="C747" s="143" t="s">
        <v>491</v>
      </c>
      <c r="D747" s="141"/>
      <c r="E747" s="138"/>
      <c r="F747" s="138"/>
      <c r="G747" s="138"/>
      <c r="H747" s="138"/>
      <c r="I747" s="138"/>
      <c r="J747" s="138"/>
      <c r="K747" s="138"/>
      <c r="L747" s="138"/>
      <c r="M747" s="138"/>
      <c r="N747" s="138"/>
      <c r="O747" s="138"/>
      <c r="P747" s="138"/>
      <c r="Q747" s="138"/>
      <c r="R747" s="138"/>
      <c r="T747" s="67"/>
      <c r="U747" s="67"/>
      <c r="V747" s="67"/>
      <c r="W747" s="67"/>
      <c r="X747" s="67"/>
      <c r="Y747" s="67"/>
    </row>
    <row r="748" spans="1:25" ht="18.75">
      <c r="A748" s="138"/>
      <c r="B748" s="138"/>
      <c r="C748" s="138" t="s">
        <v>41</v>
      </c>
      <c r="D748" s="141"/>
      <c r="E748" s="138"/>
      <c r="F748" s="138"/>
      <c r="G748" s="138"/>
      <c r="H748" s="138"/>
      <c r="I748" s="138"/>
      <c r="J748" s="138"/>
      <c r="K748" s="138"/>
      <c r="L748" s="138"/>
      <c r="M748" s="138"/>
      <c r="N748" s="138"/>
      <c r="O748" s="138"/>
      <c r="P748" s="138"/>
      <c r="Q748" s="138"/>
      <c r="R748" s="138"/>
      <c r="T748" s="67"/>
      <c r="U748" s="67"/>
      <c r="V748" s="67"/>
      <c r="W748" s="67"/>
      <c r="X748" s="67"/>
      <c r="Y748" s="67"/>
    </row>
    <row r="749" spans="1:25" ht="18.75">
      <c r="A749" s="138"/>
      <c r="B749" s="138">
        <v>1</v>
      </c>
      <c r="C749" s="138" t="s">
        <v>169</v>
      </c>
      <c r="D749" s="137" t="s">
        <v>507</v>
      </c>
      <c r="E749" s="136">
        <f>'TISWADI '!D198</f>
        <v>0</v>
      </c>
      <c r="F749" s="136">
        <f>'TISWADI '!E198</f>
        <v>0</v>
      </c>
      <c r="G749" s="136">
        <f>'TISWADI '!F198</f>
        <v>0</v>
      </c>
      <c r="H749" s="136">
        <f>'TISWADI '!G198</f>
        <v>0</v>
      </c>
      <c r="I749" s="136">
        <f>'TISWADI '!H198</f>
        <v>0</v>
      </c>
      <c r="J749" s="136">
        <f>'TISWADI '!I198</f>
        <v>0</v>
      </c>
      <c r="K749" s="136">
        <f>'TISWADI '!J198</f>
        <v>26587.395859175194</v>
      </c>
      <c r="L749" s="136">
        <f>'TISWADI '!K198</f>
        <v>26133.653253928132</v>
      </c>
      <c r="M749" s="136">
        <f>'TISWADI '!L198</f>
        <v>40435.54315145388</v>
      </c>
      <c r="N749" s="136">
        <f>'TISWADI '!M198</f>
        <v>59690.563699765255</v>
      </c>
      <c r="O749" s="136">
        <f>'TISWADI '!N198</f>
        <v>44.84</v>
      </c>
      <c r="P749" s="136">
        <f>'TISWADI '!O198</f>
        <v>277.14</v>
      </c>
      <c r="Q749" s="136">
        <f>'TISWADI '!P198</f>
        <v>550</v>
      </c>
      <c r="R749" s="136">
        <f>'TISWADI '!S198</f>
        <v>153719.13596432246</v>
      </c>
      <c r="T749" s="66">
        <v>0</v>
      </c>
      <c r="U749" s="66">
        <v>0</v>
      </c>
      <c r="V749" s="66">
        <v>0</v>
      </c>
      <c r="W749" s="66">
        <v>6166.51487578865</v>
      </c>
      <c r="X749" s="66">
        <v>201103.965954733</v>
      </c>
      <c r="Y749" s="66">
        <v>207271.480830521</v>
      </c>
    </row>
    <row r="750" spans="1:25" ht="18.75">
      <c r="A750" s="138"/>
      <c r="B750" s="138">
        <v>2</v>
      </c>
      <c r="C750" s="138" t="s">
        <v>170</v>
      </c>
      <c r="D750" s="137" t="s">
        <v>508</v>
      </c>
      <c r="E750" s="136">
        <f>'TISWADI '!D199</f>
        <v>4650.642581529097</v>
      </c>
      <c r="F750" s="136">
        <f>'TISWADI '!E199</f>
        <v>0</v>
      </c>
      <c r="G750" s="136">
        <f>'TISWADI '!F199</f>
        <v>4650.642581529097</v>
      </c>
      <c r="H750" s="136">
        <f>'TISWADI '!G199</f>
        <v>0</v>
      </c>
      <c r="I750" s="136">
        <f>'TISWADI '!H199</f>
        <v>0</v>
      </c>
      <c r="J750" s="136">
        <f>'TISWADI '!I199</f>
        <v>4650.642581529097</v>
      </c>
      <c r="K750" s="136">
        <f>'TISWADI '!J199</f>
        <v>7903.767732069592</v>
      </c>
      <c r="L750" s="136">
        <f>'TISWADI '!K199</f>
        <v>3014.357768888365</v>
      </c>
      <c r="M750" s="136">
        <f>'TISWADI '!L199</f>
        <v>4603.746410665866</v>
      </c>
      <c r="N750" s="136">
        <f>'TISWADI '!M199</f>
        <v>6796.006606221042</v>
      </c>
      <c r="O750" s="136">
        <f>'TISWADI '!N199</f>
        <v>44.84</v>
      </c>
      <c r="P750" s="136">
        <f>'TISWADI '!O199</f>
        <v>277.14</v>
      </c>
      <c r="Q750" s="136">
        <f>'TISWADI '!P199</f>
        <v>550</v>
      </c>
      <c r="R750" s="136">
        <f>'TISWADI '!S199</f>
        <v>27840.501099373963</v>
      </c>
      <c r="T750" s="66">
        <v>5000.14294350752</v>
      </c>
      <c r="U750" s="66">
        <v>0</v>
      </c>
      <c r="V750" s="66">
        <v>5000.14294350752</v>
      </c>
      <c r="W750" s="66">
        <v>1833.15062342843</v>
      </c>
      <c r="X750" s="66">
        <v>22896.4813942776</v>
      </c>
      <c r="Y750" s="66">
        <v>29728.7749612136</v>
      </c>
    </row>
    <row r="751" spans="1:25" ht="18.75">
      <c r="A751" s="138">
        <v>2</v>
      </c>
      <c r="B751" s="138"/>
      <c r="C751" s="138" t="s">
        <v>78</v>
      </c>
      <c r="D751" s="137"/>
      <c r="E751" s="136">
        <f>'TISWADI '!D200</f>
        <v>4650.642581529097</v>
      </c>
      <c r="F751" s="136">
        <f>'TISWADI '!E200</f>
        <v>0</v>
      </c>
      <c r="G751" s="136">
        <f>'TISWADI '!F200</f>
        <v>4650.642581529097</v>
      </c>
      <c r="H751" s="136">
        <f>'TISWADI '!G200</f>
        <v>0</v>
      </c>
      <c r="I751" s="136">
        <f>'TISWADI '!H200</f>
        <v>0</v>
      </c>
      <c r="J751" s="136">
        <f>'TISWADI '!I200</f>
        <v>4650.642581529097</v>
      </c>
      <c r="K751" s="136">
        <f>'TISWADI '!J200</f>
        <v>34491.16359124479</v>
      </c>
      <c r="L751" s="136">
        <f>'TISWADI '!K200</f>
        <v>29148.0110228165</v>
      </c>
      <c r="M751" s="136">
        <f>'TISWADI '!L200</f>
        <v>45039.289562119746</v>
      </c>
      <c r="N751" s="136">
        <f>'TISWADI '!M200</f>
        <v>66486.5703059863</v>
      </c>
      <c r="O751" s="136">
        <f>'TISWADI '!N200</f>
        <v>89.68</v>
      </c>
      <c r="P751" s="136">
        <f>'TISWADI '!O200</f>
        <v>554.28</v>
      </c>
      <c r="Q751" s="136">
        <f>'TISWADI '!P200</f>
        <v>1100</v>
      </c>
      <c r="R751" s="136">
        <f>'TISWADI '!S200</f>
        <v>181559.63706369643</v>
      </c>
      <c r="T751" s="66">
        <v>5000.14294350752</v>
      </c>
      <c r="U751" s="66">
        <v>0</v>
      </c>
      <c r="V751" s="66">
        <v>5000.14294350752</v>
      </c>
      <c r="W751" s="66">
        <v>7999.66549921708</v>
      </c>
      <c r="X751" s="66">
        <v>224000.44734901</v>
      </c>
      <c r="Y751" s="66">
        <v>237000.255791735</v>
      </c>
    </row>
    <row r="752" spans="1:25" ht="18.75">
      <c r="A752" s="138"/>
      <c r="B752" s="138"/>
      <c r="C752" s="138"/>
      <c r="D752" s="141"/>
      <c r="E752" s="138"/>
      <c r="F752" s="138"/>
      <c r="G752" s="138"/>
      <c r="H752" s="138"/>
      <c r="I752" s="138"/>
      <c r="J752" s="138"/>
      <c r="K752" s="138"/>
      <c r="L752" s="138"/>
      <c r="M752" s="138"/>
      <c r="N752" s="138"/>
      <c r="O752" s="138"/>
      <c r="P752" s="138"/>
      <c r="Q752" s="138"/>
      <c r="R752" s="138"/>
      <c r="T752" s="67"/>
      <c r="U752" s="67"/>
      <c r="V752" s="67"/>
      <c r="W752" s="67"/>
      <c r="X752" s="67"/>
      <c r="Y752" s="67"/>
    </row>
    <row r="753" spans="1:25" ht="18.75">
      <c r="A753" s="138"/>
      <c r="B753" s="138"/>
      <c r="C753" s="138"/>
      <c r="D753" s="141"/>
      <c r="E753" s="138"/>
      <c r="F753" s="138"/>
      <c r="G753" s="138"/>
      <c r="H753" s="138"/>
      <c r="I753" s="138"/>
      <c r="J753" s="138"/>
      <c r="K753" s="138"/>
      <c r="L753" s="138"/>
      <c r="M753" s="138"/>
      <c r="N753" s="138"/>
      <c r="O753" s="138"/>
      <c r="P753" s="138"/>
      <c r="Q753" s="138"/>
      <c r="R753" s="138"/>
      <c r="T753" s="67"/>
      <c r="U753" s="67"/>
      <c r="V753" s="67"/>
      <c r="W753" s="67"/>
      <c r="X753" s="67"/>
      <c r="Y753" s="67"/>
    </row>
    <row r="754" spans="1:25" ht="18.75">
      <c r="A754" s="138">
        <v>3</v>
      </c>
      <c r="B754" s="138"/>
      <c r="C754" s="143" t="s">
        <v>17</v>
      </c>
      <c r="D754" s="144"/>
      <c r="E754" s="145">
        <f aca="true" t="shared" si="43" ref="E754:R754">E751</f>
        <v>4650.642581529097</v>
      </c>
      <c r="F754" s="145">
        <f t="shared" si="43"/>
        <v>0</v>
      </c>
      <c r="G754" s="145">
        <f t="shared" si="43"/>
        <v>4650.642581529097</v>
      </c>
      <c r="H754" s="145">
        <f t="shared" si="43"/>
        <v>0</v>
      </c>
      <c r="I754" s="145">
        <f t="shared" si="43"/>
        <v>0</v>
      </c>
      <c r="J754" s="145">
        <f t="shared" si="43"/>
        <v>4650.642581529097</v>
      </c>
      <c r="K754" s="145">
        <f t="shared" si="43"/>
        <v>34491.16359124479</v>
      </c>
      <c r="L754" s="145">
        <f t="shared" si="43"/>
        <v>29148.0110228165</v>
      </c>
      <c r="M754" s="145">
        <f t="shared" si="43"/>
        <v>45039.289562119746</v>
      </c>
      <c r="N754" s="145">
        <f t="shared" si="43"/>
        <v>66486.5703059863</v>
      </c>
      <c r="O754" s="145">
        <f t="shared" si="43"/>
        <v>89.68</v>
      </c>
      <c r="P754" s="145">
        <f t="shared" si="43"/>
        <v>554.28</v>
      </c>
      <c r="Q754" s="145">
        <f t="shared" si="43"/>
        <v>1100</v>
      </c>
      <c r="R754" s="145">
        <f t="shared" si="43"/>
        <v>181559.63706369643</v>
      </c>
      <c r="T754" s="71">
        <v>5000.14294350752</v>
      </c>
      <c r="U754" s="71">
        <v>0</v>
      </c>
      <c r="V754" s="71">
        <v>5000.14294350752</v>
      </c>
      <c r="W754" s="71">
        <v>8421.29178459461</v>
      </c>
      <c r="X754" s="71">
        <v>254177.52587408</v>
      </c>
      <c r="Y754" s="71">
        <v>267598.960602182</v>
      </c>
    </row>
    <row r="755" spans="1:25" ht="18.75">
      <c r="A755" s="138"/>
      <c r="B755" s="138"/>
      <c r="C755" s="138"/>
      <c r="D755" s="141"/>
      <c r="E755" s="138"/>
      <c r="F755" s="138"/>
      <c r="G755" s="138"/>
      <c r="H755" s="138"/>
      <c r="I755" s="138"/>
      <c r="J755" s="138"/>
      <c r="K755" s="138"/>
      <c r="L755" s="138"/>
      <c r="M755" s="138"/>
      <c r="N755" s="138"/>
      <c r="O755" s="138"/>
      <c r="P755" s="138"/>
      <c r="Q755" s="138"/>
      <c r="R755" s="138"/>
      <c r="T755" s="67"/>
      <c r="U755" s="67"/>
      <c r="V755" s="67"/>
      <c r="W755" s="67"/>
      <c r="X755" s="67"/>
      <c r="Y755" s="67"/>
    </row>
    <row r="756" spans="1:25" ht="18.75">
      <c r="A756" s="138"/>
      <c r="B756" s="138"/>
      <c r="C756" s="143" t="s">
        <v>492</v>
      </c>
      <c r="D756" s="141"/>
      <c r="E756" s="138"/>
      <c r="F756" s="138"/>
      <c r="G756" s="138"/>
      <c r="H756" s="138"/>
      <c r="I756" s="138"/>
      <c r="J756" s="138"/>
      <c r="K756" s="138"/>
      <c r="L756" s="138"/>
      <c r="M756" s="138"/>
      <c r="N756" s="138"/>
      <c r="O756" s="138"/>
      <c r="P756" s="138"/>
      <c r="Q756" s="138"/>
      <c r="R756" s="138"/>
      <c r="T756" s="67"/>
      <c r="U756" s="67"/>
      <c r="V756" s="67"/>
      <c r="W756" s="67"/>
      <c r="X756" s="67"/>
      <c r="Y756" s="67"/>
    </row>
    <row r="757" spans="1:25" ht="18.75">
      <c r="A757" s="138"/>
      <c r="B757" s="138"/>
      <c r="C757" s="138" t="s">
        <v>41</v>
      </c>
      <c r="D757" s="141"/>
      <c r="E757" s="138"/>
      <c r="F757" s="138"/>
      <c r="G757" s="138"/>
      <c r="H757" s="138"/>
      <c r="I757" s="138"/>
      <c r="J757" s="138"/>
      <c r="K757" s="138"/>
      <c r="L757" s="138"/>
      <c r="M757" s="138"/>
      <c r="N757" s="138"/>
      <c r="O757" s="138"/>
      <c r="P757" s="138"/>
      <c r="Q757" s="138"/>
      <c r="R757" s="138"/>
      <c r="T757" s="67"/>
      <c r="U757" s="67"/>
      <c r="V757" s="67"/>
      <c r="W757" s="67"/>
      <c r="X757" s="67"/>
      <c r="Y757" s="67"/>
    </row>
    <row r="758" spans="1:25" ht="18.75">
      <c r="A758" s="138"/>
      <c r="B758" s="138">
        <v>1</v>
      </c>
      <c r="C758" s="138" t="s">
        <v>164</v>
      </c>
      <c r="D758" s="137" t="s">
        <v>507</v>
      </c>
      <c r="E758" s="136">
        <f>'TISWADI '!D190</f>
        <v>0</v>
      </c>
      <c r="F758" s="136">
        <f>'TISWADI '!E190</f>
        <v>0</v>
      </c>
      <c r="G758" s="136">
        <f>'TISWADI '!F190</f>
        <v>0</v>
      </c>
      <c r="H758" s="136">
        <f>'TISWADI '!G190</f>
        <v>0</v>
      </c>
      <c r="I758" s="136">
        <f>'TISWADI '!H190</f>
        <v>0</v>
      </c>
      <c r="J758" s="136">
        <f>'TISWADI '!I190</f>
        <v>0</v>
      </c>
      <c r="K758" s="136">
        <f>'TISWADI '!J190</f>
        <v>20536.43157853569</v>
      </c>
      <c r="L758" s="136">
        <f>'TISWADI '!K190</f>
        <v>14358.686642395443</v>
      </c>
      <c r="M758" s="136">
        <f>'TISWADI '!L190</f>
        <v>21929.63050838577</v>
      </c>
      <c r="N758" s="136">
        <f>'TISWADI '!M190</f>
        <v>32372.311702855182</v>
      </c>
      <c r="O758" s="136">
        <f>'TISWADI '!N190</f>
        <v>44.84</v>
      </c>
      <c r="P758" s="136">
        <f>'TISWADI '!O190</f>
        <v>277.14</v>
      </c>
      <c r="Q758" s="136">
        <f>'TISWADI '!P190</f>
        <v>572</v>
      </c>
      <c r="R758" s="136">
        <f>'TISWADI '!S190</f>
        <v>90091.04043217207</v>
      </c>
      <c r="T758" s="66">
        <v>0</v>
      </c>
      <c r="U758" s="66">
        <v>0</v>
      </c>
      <c r="V758" s="66">
        <v>0</v>
      </c>
      <c r="W758" s="66">
        <v>4763.09193632267</v>
      </c>
      <c r="X758" s="66">
        <v>109065.819906013</v>
      </c>
      <c r="Y758" s="66">
        <v>113828.911842335</v>
      </c>
    </row>
    <row r="759" spans="1:25" ht="18.75">
      <c r="A759" s="138"/>
      <c r="B759" s="138">
        <v>2</v>
      </c>
      <c r="C759" s="138" t="s">
        <v>165</v>
      </c>
      <c r="D759" s="137" t="s">
        <v>508</v>
      </c>
      <c r="E759" s="136">
        <f>'TISWADI '!D191</f>
        <v>0</v>
      </c>
      <c r="F759" s="136">
        <f>'TISWADI '!E191</f>
        <v>0</v>
      </c>
      <c r="G759" s="136">
        <f>'TISWADI '!F191</f>
        <v>0</v>
      </c>
      <c r="H759" s="136">
        <f>'TISWADI '!G191</f>
        <v>0</v>
      </c>
      <c r="I759" s="136">
        <f>'TISWADI '!H191</f>
        <v>0</v>
      </c>
      <c r="J759" s="136">
        <f>'TISWADI '!I191</f>
        <v>0</v>
      </c>
      <c r="K759" s="136">
        <f>'TISWADI '!J191</f>
        <v>0</v>
      </c>
      <c r="L759" s="136">
        <f>'TISWADI '!K191</f>
        <v>6283.931430312289</v>
      </c>
      <c r="M759" s="136">
        <f>'TISWADI '!L191</f>
        <v>9597.27709356786</v>
      </c>
      <c r="N759" s="136">
        <f>'TISWADI '!M191</f>
        <v>14167.409042885887</v>
      </c>
      <c r="O759" s="136">
        <f>'TISWADI '!N191</f>
        <v>44.84</v>
      </c>
      <c r="P759" s="136">
        <f>'TISWADI '!O191</f>
        <v>277.14</v>
      </c>
      <c r="Q759" s="136">
        <f>'TISWADI '!P191</f>
        <v>572</v>
      </c>
      <c r="R759" s="136">
        <f>'TISWADI '!S191</f>
        <v>30942.597566766035</v>
      </c>
      <c r="T759" s="66">
        <v>0</v>
      </c>
      <c r="U759" s="66">
        <v>0</v>
      </c>
      <c r="V759" s="66">
        <v>0</v>
      </c>
      <c r="W759" s="66">
        <v>0</v>
      </c>
      <c r="X759" s="66">
        <v>47731.5335830629</v>
      </c>
      <c r="Y759" s="66">
        <v>47731.5335830629</v>
      </c>
    </row>
    <row r="760" spans="1:25" ht="18.75">
      <c r="A760" s="138"/>
      <c r="B760" s="138">
        <v>3</v>
      </c>
      <c r="C760" s="138" t="s">
        <v>166</v>
      </c>
      <c r="D760" s="137" t="s">
        <v>507</v>
      </c>
      <c r="E760" s="136">
        <f>'TISWADI '!D192</f>
        <v>0</v>
      </c>
      <c r="F760" s="136">
        <f>'TISWADI '!E192</f>
        <v>0</v>
      </c>
      <c r="G760" s="136">
        <f>'TISWADI '!F192</f>
        <v>0</v>
      </c>
      <c r="H760" s="136">
        <f>'TISWADI '!G192</f>
        <v>0</v>
      </c>
      <c r="I760" s="136">
        <f>'TISWADI '!H192</f>
        <v>0</v>
      </c>
      <c r="J760" s="136">
        <f>'TISWADI '!I192</f>
        <v>0</v>
      </c>
      <c r="K760" s="136">
        <f>'TISWADI '!J192</f>
        <v>0</v>
      </c>
      <c r="L760" s="136">
        <f>'TISWADI '!K192</f>
        <v>2442.0324296875096</v>
      </c>
      <c r="M760" s="136">
        <f>'TISWADI '!L192</f>
        <v>3729.649528977288</v>
      </c>
      <c r="N760" s="136">
        <f>'TISWADI '!M192</f>
        <v>5505.673114204567</v>
      </c>
      <c r="O760" s="136">
        <f>'TISWADI '!N192</f>
        <v>44.84</v>
      </c>
      <c r="P760" s="136">
        <f>'TISWADI '!O192</f>
        <v>277.14</v>
      </c>
      <c r="Q760" s="136">
        <f>'TISWADI '!P192</f>
        <v>572</v>
      </c>
      <c r="R760" s="136">
        <f>'TISWADI '!S192</f>
        <v>12571.335072869366</v>
      </c>
      <c r="T760" s="66">
        <v>0</v>
      </c>
      <c r="U760" s="66">
        <v>0</v>
      </c>
      <c r="V760" s="66">
        <v>0</v>
      </c>
      <c r="W760" s="66">
        <v>0</v>
      </c>
      <c r="X760" s="66">
        <v>18549.2082816641</v>
      </c>
      <c r="Y760" s="66">
        <v>18549.2082816641</v>
      </c>
    </row>
    <row r="761" spans="1:25" ht="18.75">
      <c r="A761" s="138"/>
      <c r="B761" s="138">
        <v>4</v>
      </c>
      <c r="C761" s="138" t="s">
        <v>167</v>
      </c>
      <c r="D761" s="137" t="s">
        <v>507</v>
      </c>
      <c r="E761" s="136">
        <f>'TISWADI '!D193</f>
        <v>0</v>
      </c>
      <c r="F761" s="136">
        <f>'TISWADI '!E193</f>
        <v>0</v>
      </c>
      <c r="G761" s="136">
        <f>'TISWADI '!F193</f>
        <v>0</v>
      </c>
      <c r="H761" s="136">
        <f>'TISWADI '!G193</f>
        <v>0</v>
      </c>
      <c r="I761" s="136">
        <f>'TISWADI '!H193</f>
        <v>0</v>
      </c>
      <c r="J761" s="136">
        <f>'TISWADI '!I193</f>
        <v>0</v>
      </c>
      <c r="K761" s="136">
        <f>'TISWADI '!J193</f>
        <v>0</v>
      </c>
      <c r="L761" s="136">
        <f>'TISWADI '!K193</f>
        <v>1795.0775199698196</v>
      </c>
      <c r="M761" s="136">
        <f>'TISWADI '!L193</f>
        <v>2741.57293959027</v>
      </c>
      <c r="N761" s="136">
        <f>'TISWADI '!M193</f>
        <v>4047.0838632046843</v>
      </c>
      <c r="O761" s="136">
        <f>'TISWADI '!N193</f>
        <v>44.84</v>
      </c>
      <c r="P761" s="136">
        <f>'TISWADI '!O193</f>
        <v>277.14</v>
      </c>
      <c r="Q761" s="136">
        <f>'TISWADI '!P193</f>
        <v>572</v>
      </c>
      <c r="R761" s="136">
        <f>'TISWADI '!S193</f>
        <v>9477.714322764772</v>
      </c>
      <c r="T761" s="66">
        <v>0</v>
      </c>
      <c r="U761" s="66">
        <v>0</v>
      </c>
      <c r="V761" s="66">
        <v>0</v>
      </c>
      <c r="W761" s="66">
        <v>0</v>
      </c>
      <c r="X761" s="66">
        <v>13635.0633164663</v>
      </c>
      <c r="Y761" s="66">
        <v>13635.0633164663</v>
      </c>
    </row>
    <row r="762" spans="1:25" ht="18.75">
      <c r="A762" s="138">
        <v>4</v>
      </c>
      <c r="B762" s="138"/>
      <c r="C762" s="138" t="s">
        <v>78</v>
      </c>
      <c r="D762" s="137"/>
      <c r="E762" s="136">
        <f>'TISWADI '!D194</f>
        <v>0</v>
      </c>
      <c r="F762" s="136">
        <f>'TISWADI '!E194</f>
        <v>0</v>
      </c>
      <c r="G762" s="136">
        <f>'TISWADI '!F194</f>
        <v>0</v>
      </c>
      <c r="H762" s="136">
        <f>'TISWADI '!G194</f>
        <v>0</v>
      </c>
      <c r="I762" s="136">
        <f>'TISWADI '!H194</f>
        <v>0</v>
      </c>
      <c r="J762" s="136">
        <f>'TISWADI '!I194</f>
        <v>0</v>
      </c>
      <c r="K762" s="136">
        <f>'TISWADI '!J194</f>
        <v>20536.43157853569</v>
      </c>
      <c r="L762" s="136">
        <f>'TISWADI '!K194</f>
        <v>24879.728022365063</v>
      </c>
      <c r="M762" s="136">
        <f>'TISWADI '!L194</f>
        <v>37998.13007052119</v>
      </c>
      <c r="N762" s="136">
        <f>'TISWADI '!M194</f>
        <v>56092.477723150325</v>
      </c>
      <c r="O762" s="136">
        <f>'TISWADI '!N194</f>
        <v>179.36</v>
      </c>
      <c r="P762" s="136">
        <f>'TISWADI '!O194</f>
        <v>1108.56</v>
      </c>
      <c r="Q762" s="136">
        <f>'TISWADI '!P194</f>
        <v>2288</v>
      </c>
      <c r="R762" s="136">
        <f>'TISWADI '!S194</f>
        <v>143082.68739457225</v>
      </c>
      <c r="T762" s="66">
        <v>0</v>
      </c>
      <c r="U762" s="66">
        <v>0</v>
      </c>
      <c r="V762" s="66">
        <v>0</v>
      </c>
      <c r="W762" s="66">
        <v>4763.09193632267</v>
      </c>
      <c r="X762" s="66">
        <v>188981.625087206</v>
      </c>
      <c r="Y762" s="66">
        <v>193744.717023529</v>
      </c>
    </row>
    <row r="763" spans="1:25" ht="18.75">
      <c r="A763" s="138"/>
      <c r="B763" s="138"/>
      <c r="C763" s="138"/>
      <c r="D763" s="141"/>
      <c r="E763" s="138"/>
      <c r="F763" s="138"/>
      <c r="G763" s="138"/>
      <c r="H763" s="138"/>
      <c r="I763" s="138"/>
      <c r="J763" s="138"/>
      <c r="K763" s="138"/>
      <c r="L763" s="138"/>
      <c r="M763" s="138"/>
      <c r="N763" s="138"/>
      <c r="O763" s="138"/>
      <c r="P763" s="138"/>
      <c r="Q763" s="138"/>
      <c r="R763" s="138"/>
      <c r="T763" s="67"/>
      <c r="U763" s="67"/>
      <c r="V763" s="67"/>
      <c r="W763" s="67"/>
      <c r="X763" s="67"/>
      <c r="Y763" s="67"/>
    </row>
    <row r="764" spans="1:25" ht="18.75">
      <c r="A764" s="138"/>
      <c r="B764" s="138"/>
      <c r="C764" s="138" t="s">
        <v>42</v>
      </c>
      <c r="D764" s="141"/>
      <c r="E764" s="138"/>
      <c r="F764" s="138"/>
      <c r="G764" s="138"/>
      <c r="H764" s="138"/>
      <c r="I764" s="138"/>
      <c r="J764" s="138"/>
      <c r="K764" s="138"/>
      <c r="L764" s="138"/>
      <c r="M764" s="138"/>
      <c r="N764" s="138"/>
      <c r="O764" s="138"/>
      <c r="P764" s="138"/>
      <c r="Q764" s="138"/>
      <c r="R764" s="138"/>
      <c r="T764" s="67"/>
      <c r="U764" s="67"/>
      <c r="V764" s="67"/>
      <c r="W764" s="67"/>
      <c r="X764" s="67"/>
      <c r="Y764" s="67"/>
    </row>
    <row r="765" spans="1:25" ht="18.75">
      <c r="A765" s="138"/>
      <c r="B765" s="138">
        <v>5</v>
      </c>
      <c r="C765" s="138" t="s">
        <v>307</v>
      </c>
      <c r="D765" s="137" t="s">
        <v>507</v>
      </c>
      <c r="E765" s="136">
        <f>BARDEZ!D167</f>
        <v>0</v>
      </c>
      <c r="F765" s="136">
        <f>BARDEZ!E167</f>
        <v>0</v>
      </c>
      <c r="G765" s="136">
        <f>BARDEZ!F167</f>
        <v>0</v>
      </c>
      <c r="H765" s="136">
        <f>BARDEZ!G167</f>
        <v>0</v>
      </c>
      <c r="I765" s="136">
        <f>BARDEZ!H167</f>
        <v>0</v>
      </c>
      <c r="J765" s="136">
        <f>BARDEZ!I167</f>
        <v>0</v>
      </c>
      <c r="K765" s="136">
        <f>BARDEZ!J167</f>
        <v>0</v>
      </c>
      <c r="L765" s="136">
        <f>BARDEZ!K167</f>
        <v>4345.386921995036</v>
      </c>
      <c r="M765" s="136">
        <f>BARDEZ!L167</f>
        <v>6636.590935410599</v>
      </c>
      <c r="N765" s="136">
        <f>BARDEZ!M167</f>
        <v>9796.87233322517</v>
      </c>
      <c r="O765" s="136">
        <f>BARDEZ!N167</f>
        <v>39.2375</v>
      </c>
      <c r="P765" s="136">
        <f>BARDEZ!O167</f>
        <v>240</v>
      </c>
      <c r="Q765" s="136">
        <f>BARDEZ!P167</f>
        <v>501.09375</v>
      </c>
      <c r="R765" s="136">
        <f>BARDEZ!R167</f>
        <v>21559.181440630804</v>
      </c>
      <c r="T765" s="66">
        <v>0</v>
      </c>
      <c r="U765" s="66">
        <v>0</v>
      </c>
      <c r="V765" s="66">
        <v>0</v>
      </c>
      <c r="W765" s="66">
        <v>0</v>
      </c>
      <c r="X765" s="66">
        <v>33006.722638331</v>
      </c>
      <c r="Y765" s="66">
        <v>33006.722638331</v>
      </c>
    </row>
    <row r="766" spans="1:25" ht="18.75">
      <c r="A766" s="138"/>
      <c r="B766" s="138">
        <v>6</v>
      </c>
      <c r="C766" s="138" t="s">
        <v>308</v>
      </c>
      <c r="D766" s="137" t="s">
        <v>507</v>
      </c>
      <c r="E766" s="136">
        <f>BARDEZ!D168</f>
        <v>0</v>
      </c>
      <c r="F766" s="136">
        <f>BARDEZ!E168</f>
        <v>0</v>
      </c>
      <c r="G766" s="136">
        <f>BARDEZ!F168</f>
        <v>0</v>
      </c>
      <c r="H766" s="136">
        <f>BARDEZ!G168</f>
        <v>0</v>
      </c>
      <c r="I766" s="136">
        <f>BARDEZ!H168</f>
        <v>0</v>
      </c>
      <c r="J766" s="136">
        <f>BARDEZ!I168</f>
        <v>0</v>
      </c>
      <c r="K766" s="136">
        <f>BARDEZ!J168</f>
        <v>20380.983400060686</v>
      </c>
      <c r="L766" s="136">
        <f>BARDEZ!K168</f>
        <v>73928.03638092004</v>
      </c>
      <c r="M766" s="136">
        <f>BARDEZ!L168</f>
        <v>112908.27374540514</v>
      </c>
      <c r="N766" s="136">
        <f>BARDEZ!M168</f>
        <v>166674.11838607426</v>
      </c>
      <c r="O766" s="136">
        <f>BARDEZ!N168</f>
        <v>39.2375</v>
      </c>
      <c r="P766" s="136">
        <f>BARDEZ!O168</f>
        <v>240</v>
      </c>
      <c r="Q766" s="136">
        <f>BARDEZ!P168</f>
        <v>501.09375</v>
      </c>
      <c r="R766" s="136">
        <f>BARDEZ!R168</f>
        <v>374671.7431624601</v>
      </c>
      <c r="T766" s="66">
        <v>0</v>
      </c>
      <c r="U766" s="66">
        <v>0</v>
      </c>
      <c r="V766" s="66">
        <v>0</v>
      </c>
      <c r="W766" s="66">
        <v>4727.03825471889</v>
      </c>
      <c r="X766" s="66">
        <v>561543.134322587</v>
      </c>
      <c r="Y766" s="66">
        <v>566270.172577306</v>
      </c>
    </row>
    <row r="767" spans="1:25" ht="18.75">
      <c r="A767" s="138"/>
      <c r="B767" s="138">
        <v>7</v>
      </c>
      <c r="C767" s="138" t="s">
        <v>309</v>
      </c>
      <c r="D767" s="137" t="s">
        <v>508</v>
      </c>
      <c r="E767" s="136">
        <f>BARDEZ!D169</f>
        <v>0</v>
      </c>
      <c r="F767" s="136">
        <f>BARDEZ!E169</f>
        <v>0</v>
      </c>
      <c r="G767" s="136">
        <f>BARDEZ!F169</f>
        <v>0</v>
      </c>
      <c r="H767" s="136">
        <f>BARDEZ!G169</f>
        <v>0</v>
      </c>
      <c r="I767" s="136">
        <f>BARDEZ!H169</f>
        <v>0</v>
      </c>
      <c r="J767" s="136">
        <f>BARDEZ!I169</f>
        <v>0</v>
      </c>
      <c r="K767" s="136">
        <f>BARDEZ!J169</f>
        <v>0</v>
      </c>
      <c r="L767" s="136">
        <f>BARDEZ!K169</f>
        <v>2259.8950940766294</v>
      </c>
      <c r="M767" s="136">
        <f>BARDEZ!L169</f>
        <v>3451.4761436806702</v>
      </c>
      <c r="N767" s="136">
        <f>BARDEZ!M169</f>
        <v>5095.036212100037</v>
      </c>
      <c r="O767" s="136">
        <f>BARDEZ!N169</f>
        <v>39.2375</v>
      </c>
      <c r="P767" s="136">
        <f>BARDEZ!O169</f>
        <v>240</v>
      </c>
      <c r="Q767" s="136">
        <f>BARDEZ!P169</f>
        <v>501.09375</v>
      </c>
      <c r="R767" s="136">
        <f>BARDEZ!R169</f>
        <v>11586.738699857335</v>
      </c>
      <c r="T767" s="66">
        <v>0</v>
      </c>
      <c r="U767" s="66">
        <v>0</v>
      </c>
      <c r="V767" s="66">
        <v>0</v>
      </c>
      <c r="W767" s="66">
        <v>0</v>
      </c>
      <c r="X767" s="66">
        <v>17165.7281390413</v>
      </c>
      <c r="Y767" s="66">
        <v>17165.7281390413</v>
      </c>
    </row>
    <row r="768" spans="1:25" ht="18.75">
      <c r="A768" s="138"/>
      <c r="B768" s="138">
        <v>8</v>
      </c>
      <c r="C768" s="138" t="s">
        <v>310</v>
      </c>
      <c r="D768" s="137" t="s">
        <v>508</v>
      </c>
      <c r="E768" s="136">
        <f>BARDEZ!D170</f>
        <v>0</v>
      </c>
      <c r="F768" s="136">
        <f>BARDEZ!E170</f>
        <v>0</v>
      </c>
      <c r="G768" s="136">
        <f>BARDEZ!F170</f>
        <v>0</v>
      </c>
      <c r="H768" s="136">
        <f>BARDEZ!G170</f>
        <v>0</v>
      </c>
      <c r="I768" s="136">
        <f>BARDEZ!H170</f>
        <v>0</v>
      </c>
      <c r="J768" s="136">
        <f>BARDEZ!I170</f>
        <v>0</v>
      </c>
      <c r="K768" s="136">
        <f>BARDEZ!J170</f>
        <v>0</v>
      </c>
      <c r="L768" s="136">
        <f>BARDEZ!K170</f>
        <v>4362.015171318319</v>
      </c>
      <c r="M768" s="136">
        <f>BARDEZ!L170</f>
        <v>6661.98680710434</v>
      </c>
      <c r="N768" s="136">
        <f>BARDEZ!M170</f>
        <v>9834.361477154027</v>
      </c>
      <c r="O768" s="136">
        <f>BARDEZ!N170</f>
        <v>39.2375</v>
      </c>
      <c r="P768" s="136">
        <f>BARDEZ!O170</f>
        <v>240</v>
      </c>
      <c r="Q768" s="136">
        <f>BARDEZ!P170</f>
        <v>501.09375</v>
      </c>
      <c r="R768" s="136">
        <f>BARDEZ!R170</f>
        <v>21638.694705576683</v>
      </c>
      <c r="T768" s="66">
        <v>0</v>
      </c>
      <c r="U768" s="66">
        <v>0</v>
      </c>
      <c r="V768" s="66">
        <v>0</v>
      </c>
      <c r="W768" s="66">
        <v>0</v>
      </c>
      <c r="X768" s="66">
        <v>33133.0276195046</v>
      </c>
      <c r="Y768" s="66">
        <v>33133.0276195046</v>
      </c>
    </row>
    <row r="769" spans="1:25" ht="18.75">
      <c r="A769" s="138"/>
      <c r="B769" s="138">
        <v>9</v>
      </c>
      <c r="C769" s="138" t="s">
        <v>311</v>
      </c>
      <c r="D769" s="137" t="s">
        <v>507</v>
      </c>
      <c r="E769" s="136">
        <f>BARDEZ!D171</f>
        <v>0</v>
      </c>
      <c r="F769" s="136">
        <f>BARDEZ!E171</f>
        <v>0</v>
      </c>
      <c r="G769" s="136">
        <f>BARDEZ!F171</f>
        <v>0</v>
      </c>
      <c r="H769" s="136">
        <f>BARDEZ!G171</f>
        <v>0</v>
      </c>
      <c r="I769" s="136">
        <f>BARDEZ!H171</f>
        <v>0</v>
      </c>
      <c r="J769" s="136">
        <f>BARDEZ!I171</f>
        <v>0</v>
      </c>
      <c r="K769" s="136">
        <f>BARDEZ!J171</f>
        <v>0</v>
      </c>
      <c r="L769" s="136">
        <f>BARDEZ!K171</f>
        <v>6960.66250742284</v>
      </c>
      <c r="M769" s="136">
        <f>BARDEZ!L171</f>
        <v>10630.8300113367</v>
      </c>
      <c r="N769" s="136">
        <f>BARDEZ!M171</f>
        <v>15693.13001673513</v>
      </c>
      <c r="O769" s="136">
        <f>BARDEZ!N171</f>
        <v>39.2375</v>
      </c>
      <c r="P769" s="136">
        <f>BARDEZ!O171</f>
        <v>240</v>
      </c>
      <c r="Q769" s="136">
        <f>BARDEZ!P171</f>
        <v>501.09375</v>
      </c>
      <c r="R769" s="136">
        <f>BARDEZ!R171</f>
        <v>34064.95378549467</v>
      </c>
      <c r="T769" s="66">
        <v>0</v>
      </c>
      <c r="U769" s="66">
        <v>0</v>
      </c>
      <c r="V769" s="66">
        <v>0</v>
      </c>
      <c r="W769" s="66">
        <v>0</v>
      </c>
      <c r="X769" s="66">
        <v>52871.8525843158</v>
      </c>
      <c r="Y769" s="66">
        <v>52871.8525843158</v>
      </c>
    </row>
    <row r="770" spans="1:25" ht="18.75">
      <c r="A770" s="138"/>
      <c r="B770" s="138">
        <v>10</v>
      </c>
      <c r="C770" s="138" t="s">
        <v>312</v>
      </c>
      <c r="D770" s="137" t="s">
        <v>507</v>
      </c>
      <c r="E770" s="136">
        <f>BARDEZ!D172</f>
        <v>0</v>
      </c>
      <c r="F770" s="136">
        <f>BARDEZ!E172</f>
        <v>0</v>
      </c>
      <c r="G770" s="136">
        <f>BARDEZ!F172</f>
        <v>0</v>
      </c>
      <c r="H770" s="136">
        <f>BARDEZ!G172</f>
        <v>0</v>
      </c>
      <c r="I770" s="136">
        <f>BARDEZ!H172</f>
        <v>0</v>
      </c>
      <c r="J770" s="136">
        <f>BARDEZ!I172</f>
        <v>0</v>
      </c>
      <c r="K770" s="136">
        <f>BARDEZ!J172</f>
        <v>0</v>
      </c>
      <c r="L770" s="136">
        <f>BARDEZ!K172</f>
        <v>2607.154812502483</v>
      </c>
      <c r="M770" s="136">
        <f>BARDEZ!L172</f>
        <v>3981.8364409128826</v>
      </c>
      <c r="N770" s="136">
        <f>BARDEZ!M172</f>
        <v>5877.9490318237795</v>
      </c>
      <c r="O770" s="136">
        <f>BARDEZ!N172</f>
        <v>39.2375</v>
      </c>
      <c r="P770" s="136">
        <f>BARDEZ!O172</f>
        <v>240</v>
      </c>
      <c r="Q770" s="136">
        <f>BARDEZ!P172</f>
        <v>501.09375</v>
      </c>
      <c r="R770" s="136">
        <f>BARDEZ!R172</f>
        <v>13247.271535239144</v>
      </c>
      <c r="T770" s="66">
        <v>0</v>
      </c>
      <c r="U770" s="66">
        <v>0</v>
      </c>
      <c r="V770" s="66">
        <v>0</v>
      </c>
      <c r="W770" s="66">
        <v>0</v>
      </c>
      <c r="X770" s="66">
        <v>19803.4461179698</v>
      </c>
      <c r="Y770" s="66">
        <v>19803.4461179698</v>
      </c>
    </row>
    <row r="771" spans="1:25" ht="18.75">
      <c r="A771" s="138"/>
      <c r="B771" s="138">
        <v>11</v>
      </c>
      <c r="C771" s="138" t="s">
        <v>313</v>
      </c>
      <c r="D771" s="137" t="s">
        <v>508</v>
      </c>
      <c r="E771" s="136">
        <f>BARDEZ!D173</f>
        <v>0</v>
      </c>
      <c r="F771" s="136">
        <f>BARDEZ!E173</f>
        <v>0</v>
      </c>
      <c r="G771" s="136">
        <f>BARDEZ!F173</f>
        <v>0</v>
      </c>
      <c r="H771" s="136">
        <f>BARDEZ!G173</f>
        <v>0</v>
      </c>
      <c r="I771" s="136">
        <f>BARDEZ!H173</f>
        <v>0</v>
      </c>
      <c r="J771" s="136">
        <f>BARDEZ!I173</f>
        <v>0</v>
      </c>
      <c r="K771" s="136">
        <f>BARDEZ!J173</f>
        <v>0</v>
      </c>
      <c r="L771" s="136">
        <f>BARDEZ!K173</f>
        <v>3038.715887962715</v>
      </c>
      <c r="M771" s="136">
        <f>BARDEZ!L173</f>
        <v>4640.947901615783</v>
      </c>
      <c r="N771" s="136">
        <f>BARDEZ!M173</f>
        <v>6850.923092861393</v>
      </c>
      <c r="O771" s="136">
        <f>BARDEZ!N173</f>
        <v>39.2375</v>
      </c>
      <c r="P771" s="136">
        <f>BARDEZ!O173</f>
        <v>240</v>
      </c>
      <c r="Q771" s="136">
        <f>BARDEZ!P173</f>
        <v>501.09375</v>
      </c>
      <c r="R771" s="136">
        <f>BARDEZ!R173</f>
        <v>15310.91813243989</v>
      </c>
      <c r="T771" s="66">
        <v>0</v>
      </c>
      <c r="U771" s="66">
        <v>0</v>
      </c>
      <c r="V771" s="66">
        <v>0</v>
      </c>
      <c r="W771" s="66">
        <v>0</v>
      </c>
      <c r="X771" s="66">
        <v>23081.5009781975</v>
      </c>
      <c r="Y771" s="66">
        <v>23081.5009781975</v>
      </c>
    </row>
    <row r="772" spans="1:25" ht="18.75">
      <c r="A772" s="138"/>
      <c r="B772" s="138">
        <v>12</v>
      </c>
      <c r="C772" s="138" t="s">
        <v>314</v>
      </c>
      <c r="D772" s="137" t="s">
        <v>508</v>
      </c>
      <c r="E772" s="136">
        <f>BARDEZ!D174</f>
        <v>0</v>
      </c>
      <c r="F772" s="136">
        <f>BARDEZ!E174</f>
        <v>0</v>
      </c>
      <c r="G772" s="136">
        <f>BARDEZ!F174</f>
        <v>0</v>
      </c>
      <c r="H772" s="136">
        <f>BARDEZ!G174</f>
        <v>0</v>
      </c>
      <c r="I772" s="136">
        <f>BARDEZ!H174</f>
        <v>0</v>
      </c>
      <c r="J772" s="136">
        <f>BARDEZ!I174</f>
        <v>0</v>
      </c>
      <c r="K772" s="136">
        <f>BARDEZ!J174</f>
        <v>0</v>
      </c>
      <c r="L772" s="136">
        <f>BARDEZ!K174</f>
        <v>15817.332141173198</v>
      </c>
      <c r="M772" s="136">
        <f>BARDEZ!L174</f>
        <v>24157.379997428157</v>
      </c>
      <c r="N772" s="136">
        <f>BARDEZ!M174</f>
        <v>35660.89428191776</v>
      </c>
      <c r="O772" s="136">
        <f>BARDEZ!N174</f>
        <v>39.2375</v>
      </c>
      <c r="P772" s="136">
        <f>BARDEZ!O174</f>
        <v>240</v>
      </c>
      <c r="Q772" s="136">
        <f>BARDEZ!P174</f>
        <v>501.09375</v>
      </c>
      <c r="R772" s="136">
        <f>BARDEZ!R174</f>
        <v>76415.93767051912</v>
      </c>
      <c r="T772" s="66">
        <v>0</v>
      </c>
      <c r="U772" s="66">
        <v>0</v>
      </c>
      <c r="V772" s="66">
        <v>0</v>
      </c>
      <c r="W772" s="66">
        <v>0</v>
      </c>
      <c r="X772" s="66">
        <v>120145.410347571</v>
      </c>
      <c r="Y772" s="66">
        <v>120145.410347571</v>
      </c>
    </row>
    <row r="773" spans="1:25" ht="18.75">
      <c r="A773" s="138">
        <v>8</v>
      </c>
      <c r="B773" s="138"/>
      <c r="C773" s="138" t="s">
        <v>78</v>
      </c>
      <c r="D773" s="137"/>
      <c r="E773" s="136">
        <f>BARDEZ!D175</f>
        <v>0</v>
      </c>
      <c r="F773" s="136">
        <f>BARDEZ!E175</f>
        <v>0</v>
      </c>
      <c r="G773" s="136">
        <f>BARDEZ!F175</f>
        <v>0</v>
      </c>
      <c r="H773" s="136">
        <f>BARDEZ!G175</f>
        <v>0</v>
      </c>
      <c r="I773" s="136">
        <f>BARDEZ!H175</f>
        <v>0</v>
      </c>
      <c r="J773" s="136">
        <f>BARDEZ!I175</f>
        <v>0</v>
      </c>
      <c r="K773" s="136">
        <f>BARDEZ!J175</f>
        <v>20380.983400060686</v>
      </c>
      <c r="L773" s="136">
        <f>BARDEZ!K175</f>
        <v>113319.19891737125</v>
      </c>
      <c r="M773" s="136">
        <f>BARDEZ!L175</f>
        <v>173069.3219828943</v>
      </c>
      <c r="N773" s="136">
        <f>BARDEZ!M175</f>
        <v>255483.28483189156</v>
      </c>
      <c r="O773" s="136">
        <f>BARDEZ!N175</f>
        <v>313.90000000000003</v>
      </c>
      <c r="P773" s="136">
        <f>BARDEZ!O175</f>
        <v>1920</v>
      </c>
      <c r="Q773" s="136">
        <f>BARDEZ!P175</f>
        <v>4008.75</v>
      </c>
      <c r="R773" s="136">
        <f>BARDEZ!R175</f>
        <v>568495.4391322178</v>
      </c>
      <c r="T773" s="66">
        <v>0</v>
      </c>
      <c r="U773" s="66">
        <v>0</v>
      </c>
      <c r="V773" s="66">
        <v>0</v>
      </c>
      <c r="W773" s="66">
        <v>4727.03825471889</v>
      </c>
      <c r="X773" s="66">
        <v>860750.822747518</v>
      </c>
      <c r="Y773" s="66">
        <v>865477.861002237</v>
      </c>
    </row>
    <row r="774" spans="1:25" ht="18.75">
      <c r="A774" s="138"/>
      <c r="B774" s="138"/>
      <c r="C774" s="138"/>
      <c r="D774" s="137"/>
      <c r="E774" s="136"/>
      <c r="F774" s="136"/>
      <c r="G774" s="136"/>
      <c r="H774" s="136"/>
      <c r="I774" s="136"/>
      <c r="J774" s="136"/>
      <c r="K774" s="136"/>
      <c r="L774" s="136"/>
      <c r="M774" s="136"/>
      <c r="N774" s="136"/>
      <c r="O774" s="136"/>
      <c r="P774" s="136"/>
      <c r="Q774" s="136"/>
      <c r="R774" s="136"/>
      <c r="T774" s="66"/>
      <c r="U774" s="66"/>
      <c r="V774" s="66"/>
      <c r="W774" s="66"/>
      <c r="X774" s="66"/>
      <c r="Y774" s="66"/>
    </row>
    <row r="775" spans="1:25" ht="18.75">
      <c r="A775" s="138"/>
      <c r="B775" s="138"/>
      <c r="C775" s="138"/>
      <c r="D775" s="141"/>
      <c r="E775" s="138"/>
      <c r="F775" s="138"/>
      <c r="G775" s="138"/>
      <c r="H775" s="138"/>
      <c r="I775" s="138"/>
      <c r="J775" s="138"/>
      <c r="K775" s="138"/>
      <c r="L775" s="138"/>
      <c r="M775" s="138"/>
      <c r="N775" s="138"/>
      <c r="O775" s="138"/>
      <c r="P775" s="138"/>
      <c r="Q775" s="138"/>
      <c r="R775" s="138"/>
      <c r="T775" s="67"/>
      <c r="U775" s="67"/>
      <c r="V775" s="67"/>
      <c r="W775" s="67"/>
      <c r="X775" s="67"/>
      <c r="Y775" s="67"/>
    </row>
    <row r="776" spans="1:25" ht="18.75">
      <c r="A776" s="138"/>
      <c r="B776" s="138"/>
      <c r="C776" s="138" t="s">
        <v>43</v>
      </c>
      <c r="D776" s="141"/>
      <c r="E776" s="138"/>
      <c r="F776" s="138"/>
      <c r="G776" s="138"/>
      <c r="H776" s="138"/>
      <c r="I776" s="138"/>
      <c r="J776" s="138"/>
      <c r="K776" s="138"/>
      <c r="L776" s="138"/>
      <c r="M776" s="138"/>
      <c r="N776" s="138"/>
      <c r="O776" s="138"/>
      <c r="P776" s="138"/>
      <c r="Q776" s="138"/>
      <c r="R776" s="138"/>
      <c r="T776" s="67"/>
      <c r="U776" s="67"/>
      <c r="V776" s="67"/>
      <c r="W776" s="67"/>
      <c r="X776" s="67"/>
      <c r="Y776" s="67"/>
    </row>
    <row r="777" spans="1:25" ht="18.75">
      <c r="A777" s="138"/>
      <c r="B777" s="138">
        <v>15</v>
      </c>
      <c r="C777" s="138" t="s">
        <v>377</v>
      </c>
      <c r="D777" s="137" t="s">
        <v>507</v>
      </c>
      <c r="E777" s="136">
        <f>BICHOLIM!D51</f>
        <v>0</v>
      </c>
      <c r="F777" s="136">
        <f>BICHOLIM!E51</f>
        <v>0</v>
      </c>
      <c r="G777" s="136">
        <f>BICHOLIM!F51</f>
        <v>0</v>
      </c>
      <c r="H777" s="136">
        <f>BICHOLIM!G51</f>
        <v>0</v>
      </c>
      <c r="I777" s="136">
        <f>BICHOLIM!H51</f>
        <v>0</v>
      </c>
      <c r="J777" s="136">
        <f>BICHOLIM!I51</f>
        <v>0</v>
      </c>
      <c r="K777" s="136">
        <f>BICHOLIM!J51</f>
        <v>0</v>
      </c>
      <c r="L777" s="136">
        <f>BICHOLIM!K51</f>
        <v>152.7478716906673</v>
      </c>
      <c r="M777" s="136">
        <f>BICHOLIM!L51</f>
        <v>739.28765858211</v>
      </c>
      <c r="N777" s="136">
        <f>BICHOLIM!M51</f>
        <v>344.37701981168624</v>
      </c>
      <c r="O777" s="136">
        <f>BICHOLIM!N51</f>
        <v>165</v>
      </c>
      <c r="P777" s="136">
        <f>BICHOLIM!O51</f>
        <v>999</v>
      </c>
      <c r="Q777" s="136">
        <f>BICHOLIM!P51</f>
        <v>2009</v>
      </c>
      <c r="R777" s="136">
        <f>BICHOLIM!R51</f>
        <v>4409.412550084463</v>
      </c>
      <c r="T777" s="66">
        <v>0</v>
      </c>
      <c r="U777" s="66">
        <v>0</v>
      </c>
      <c r="V777" s="66">
        <v>0</v>
      </c>
      <c r="W777" s="66">
        <v>0</v>
      </c>
      <c r="X777" s="66">
        <v>1160.24343171137</v>
      </c>
      <c r="Y777" s="66">
        <v>1160.24343171137</v>
      </c>
    </row>
    <row r="778" spans="1:25" ht="18.75">
      <c r="A778" s="138"/>
      <c r="B778" s="138">
        <v>16</v>
      </c>
      <c r="C778" s="138" t="s">
        <v>378</v>
      </c>
      <c r="D778" s="137" t="s">
        <v>508</v>
      </c>
      <c r="E778" s="136">
        <f>BICHOLIM!D52</f>
        <v>0</v>
      </c>
      <c r="F778" s="136">
        <f>BICHOLIM!E52</f>
        <v>8137.0045217769775</v>
      </c>
      <c r="G778" s="136">
        <f>BICHOLIM!F52</f>
        <v>8137.0045217769775</v>
      </c>
      <c r="H778" s="136">
        <f>BICHOLIM!G52</f>
        <v>984.9571536241042</v>
      </c>
      <c r="I778" s="136">
        <f>BICHOLIM!H52</f>
        <v>922.5513355926792</v>
      </c>
      <c r="J778" s="136">
        <f>BICHOLIM!I52</f>
        <v>10044.513010993762</v>
      </c>
      <c r="K778" s="136">
        <f>BICHOLIM!J52</f>
        <v>0</v>
      </c>
      <c r="L778" s="136">
        <f>BICHOLIM!K52</f>
        <v>2494.2373984931855</v>
      </c>
      <c r="M778" s="136">
        <f>BICHOLIM!L52</f>
        <v>3809.3807540623197</v>
      </c>
      <c r="N778" s="136">
        <f>BICHOLIM!M52</f>
        <v>7623.371589330091</v>
      </c>
      <c r="O778" s="136">
        <f>BICHOLIM!N52</f>
        <v>165</v>
      </c>
      <c r="P778" s="136">
        <f>BICHOLIM!O52</f>
        <v>999</v>
      </c>
      <c r="Q778" s="136">
        <f>BICHOLIM!P52</f>
        <v>2009</v>
      </c>
      <c r="R778" s="136">
        <f>BICHOLIM!R52</f>
        <v>27144.502752879358</v>
      </c>
      <c r="T778" s="66">
        <v>0</v>
      </c>
      <c r="U778" s="66">
        <v>9141.64303143693</v>
      </c>
      <c r="V778" s="66">
        <v>9141.64303143693</v>
      </c>
      <c r="W778" s="66">
        <v>0</v>
      </c>
      <c r="X778" s="66">
        <v>18945.7471760465</v>
      </c>
      <c r="Y778" s="66">
        <v>28088.3902074835</v>
      </c>
    </row>
    <row r="779" spans="1:25" ht="18.75">
      <c r="A779" s="138">
        <v>2</v>
      </c>
      <c r="B779" s="138"/>
      <c r="C779" s="138" t="s">
        <v>78</v>
      </c>
      <c r="D779" s="137"/>
      <c r="E779" s="136">
        <f>BICHOLIM!D53</f>
        <v>0</v>
      </c>
      <c r="F779" s="136">
        <f>BICHOLIM!E53</f>
        <v>8137.0045217769775</v>
      </c>
      <c r="G779" s="136">
        <f>BICHOLIM!F53</f>
        <v>8137.0045217769775</v>
      </c>
      <c r="H779" s="136">
        <f>BICHOLIM!G53</f>
        <v>984.9571536241042</v>
      </c>
      <c r="I779" s="136">
        <f>BICHOLIM!H53</f>
        <v>922.5513355926792</v>
      </c>
      <c r="J779" s="136">
        <f>BICHOLIM!I53</f>
        <v>10044.513010993762</v>
      </c>
      <c r="K779" s="136">
        <f>BICHOLIM!J53</f>
        <v>0</v>
      </c>
      <c r="L779" s="136">
        <f>BICHOLIM!K53</f>
        <v>2646.9852701838527</v>
      </c>
      <c r="M779" s="136">
        <f>BICHOLIM!L53</f>
        <v>4548.66841264443</v>
      </c>
      <c r="N779" s="136">
        <f>BICHOLIM!M53</f>
        <v>7967.748609141778</v>
      </c>
      <c r="O779" s="136">
        <f>BICHOLIM!N53</f>
        <v>330</v>
      </c>
      <c r="P779" s="136">
        <f>BICHOLIM!O53</f>
        <v>1998</v>
      </c>
      <c r="Q779" s="136">
        <f>BICHOLIM!P53</f>
        <v>4018</v>
      </c>
      <c r="R779" s="136">
        <f>BICHOLIM!R53</f>
        <v>31553.915302963822</v>
      </c>
      <c r="T779" s="66">
        <v>0</v>
      </c>
      <c r="U779" s="66">
        <v>9141.64303143693</v>
      </c>
      <c r="V779" s="66">
        <v>9141.64303143693</v>
      </c>
      <c r="W779" s="66">
        <v>0</v>
      </c>
      <c r="X779" s="66">
        <v>20105.9906077579</v>
      </c>
      <c r="Y779" s="66">
        <v>29247.6336391948</v>
      </c>
    </row>
    <row r="780" spans="1:25" ht="18.75">
      <c r="A780" s="138"/>
      <c r="B780" s="138"/>
      <c r="C780" s="138"/>
      <c r="D780" s="141"/>
      <c r="E780" s="138"/>
      <c r="F780" s="138"/>
      <c r="G780" s="138"/>
      <c r="H780" s="138"/>
      <c r="I780" s="138"/>
      <c r="J780" s="138"/>
      <c r="K780" s="138"/>
      <c r="L780" s="138"/>
      <c r="M780" s="138"/>
      <c r="N780" s="138"/>
      <c r="O780" s="138"/>
      <c r="P780" s="138"/>
      <c r="Q780" s="138"/>
      <c r="R780" s="138"/>
      <c r="T780" s="67"/>
      <c r="U780" s="67"/>
      <c r="V780" s="67"/>
      <c r="W780" s="67"/>
      <c r="X780" s="67"/>
      <c r="Y780" s="67"/>
    </row>
    <row r="781" spans="1:25" ht="18.75">
      <c r="A781" s="138"/>
      <c r="B781" s="138"/>
      <c r="C781" s="138" t="s">
        <v>44</v>
      </c>
      <c r="D781" s="141"/>
      <c r="E781" s="138"/>
      <c r="F781" s="138"/>
      <c r="G781" s="138"/>
      <c r="H781" s="138"/>
      <c r="I781" s="138"/>
      <c r="J781" s="138"/>
      <c r="K781" s="138"/>
      <c r="L781" s="138"/>
      <c r="M781" s="138"/>
      <c r="N781" s="138"/>
      <c r="O781" s="138"/>
      <c r="P781" s="138"/>
      <c r="Q781" s="138"/>
      <c r="R781" s="138"/>
      <c r="T781" s="67"/>
      <c r="U781" s="67"/>
      <c r="V781" s="67"/>
      <c r="W781" s="67"/>
      <c r="X781" s="67"/>
      <c r="Y781" s="67"/>
    </row>
    <row r="782" spans="1:25" s="80" customFormat="1" ht="18.75">
      <c r="A782" s="138">
        <v>1</v>
      </c>
      <c r="B782" s="138">
        <v>17</v>
      </c>
      <c r="C782" s="138" t="s">
        <v>423</v>
      </c>
      <c r="D782" s="137" t="s">
        <v>508</v>
      </c>
      <c r="E782" s="136">
        <f>PERNEM!D57</f>
        <v>0</v>
      </c>
      <c r="F782" s="136">
        <f>PERNEM!E57</f>
        <v>0</v>
      </c>
      <c r="G782" s="136">
        <f>PERNEM!F57</f>
        <v>0</v>
      </c>
      <c r="H782" s="136">
        <f>PERNEM!G57</f>
        <v>0</v>
      </c>
      <c r="I782" s="136">
        <f>PERNEM!H57</f>
        <v>0</v>
      </c>
      <c r="J782" s="136">
        <f>PERNEM!I57</f>
        <v>0</v>
      </c>
      <c r="K782" s="136">
        <f>PERNEM!J57</f>
        <v>25.86945436252584</v>
      </c>
      <c r="L782" s="136">
        <f>PERNEM!K57</f>
        <v>13833.732893768567</v>
      </c>
      <c r="M782" s="136">
        <f>PERNEM!L57</f>
        <v>21127.882965028355</v>
      </c>
      <c r="N782" s="136">
        <f>PERNEM!M57</f>
        <v>31172.77961504186</v>
      </c>
      <c r="O782" s="136">
        <f>PERNEM!N57</f>
        <v>232</v>
      </c>
      <c r="P782" s="136">
        <f>PERNEM!O57</f>
        <v>1437</v>
      </c>
      <c r="Q782" s="136">
        <f>PERNEM!P57</f>
        <v>2969</v>
      </c>
      <c r="R782" s="136">
        <f>PERNEM!R57</f>
        <v>70798.26492820132</v>
      </c>
      <c r="T782" s="81">
        <v>0</v>
      </c>
      <c r="U782" s="81">
        <v>0</v>
      </c>
      <c r="V782" s="81">
        <v>0</v>
      </c>
      <c r="W782" s="81">
        <v>6</v>
      </c>
      <c r="X782" s="81">
        <v>105079.771500608</v>
      </c>
      <c r="Y782" s="81">
        <v>105085.771500608</v>
      </c>
    </row>
    <row r="783" spans="1:25" ht="18.75">
      <c r="A783" s="138"/>
      <c r="B783" s="138"/>
      <c r="C783" s="138"/>
      <c r="D783" s="141"/>
      <c r="E783" s="138"/>
      <c r="F783" s="138"/>
      <c r="G783" s="138"/>
      <c r="H783" s="138"/>
      <c r="I783" s="138"/>
      <c r="J783" s="138"/>
      <c r="K783" s="138"/>
      <c r="L783" s="138"/>
      <c r="M783" s="138"/>
      <c r="N783" s="138"/>
      <c r="O783" s="138"/>
      <c r="P783" s="138"/>
      <c r="Q783" s="138"/>
      <c r="R783" s="138"/>
      <c r="T783" s="67"/>
      <c r="U783" s="67"/>
      <c r="V783" s="67"/>
      <c r="W783" s="67"/>
      <c r="X783" s="67"/>
      <c r="Y783" s="67"/>
    </row>
    <row r="784" spans="1:25" ht="18.75">
      <c r="A784" s="138">
        <v>17</v>
      </c>
      <c r="B784" s="138"/>
      <c r="C784" s="143" t="s">
        <v>17</v>
      </c>
      <c r="D784" s="144"/>
      <c r="E784" s="145">
        <f aca="true" t="shared" si="44" ref="E784:R784">E762+E773+E779+E782</f>
        <v>0</v>
      </c>
      <c r="F784" s="145">
        <f t="shared" si="44"/>
        <v>8137.0045217769775</v>
      </c>
      <c r="G784" s="145">
        <f t="shared" si="44"/>
        <v>8137.0045217769775</v>
      </c>
      <c r="H784" s="145">
        <f t="shared" si="44"/>
        <v>984.9571536241042</v>
      </c>
      <c r="I784" s="145">
        <f t="shared" si="44"/>
        <v>922.5513355926792</v>
      </c>
      <c r="J784" s="145">
        <f t="shared" si="44"/>
        <v>10044.513010993762</v>
      </c>
      <c r="K784" s="145">
        <f t="shared" si="44"/>
        <v>40943.2844329589</v>
      </c>
      <c r="L784" s="145">
        <f t="shared" si="44"/>
        <v>154679.64510368876</v>
      </c>
      <c r="M784" s="145">
        <f t="shared" si="44"/>
        <v>236744.00343108823</v>
      </c>
      <c r="N784" s="145">
        <f t="shared" si="44"/>
        <v>350716.2907792255</v>
      </c>
      <c r="O784" s="145">
        <f t="shared" si="44"/>
        <v>1055.26</v>
      </c>
      <c r="P784" s="145">
        <f t="shared" si="44"/>
        <v>6463.5599999999995</v>
      </c>
      <c r="Q784" s="145">
        <f t="shared" si="44"/>
        <v>13283.75</v>
      </c>
      <c r="R784" s="145">
        <f t="shared" si="44"/>
        <v>813930.3067579551</v>
      </c>
      <c r="T784" s="71">
        <v>0</v>
      </c>
      <c r="U784" s="71">
        <v>9141.64303143693</v>
      </c>
      <c r="V784" s="71">
        <v>9141.64303143693</v>
      </c>
      <c r="W784" s="71">
        <v>9529.13019104156</v>
      </c>
      <c r="X784" s="71">
        <v>1257645.03528668</v>
      </c>
      <c r="Y784" s="71">
        <v>1276315.80850916</v>
      </c>
    </row>
    <row r="785" spans="1:25" ht="18.75">
      <c r="A785" s="138"/>
      <c r="B785" s="138"/>
      <c r="C785" s="138"/>
      <c r="D785" s="141"/>
      <c r="E785" s="138"/>
      <c r="F785" s="138"/>
      <c r="G785" s="138"/>
      <c r="H785" s="138"/>
      <c r="I785" s="138"/>
      <c r="J785" s="138"/>
      <c r="K785" s="138"/>
      <c r="L785" s="138"/>
      <c r="M785" s="138"/>
      <c r="N785" s="138"/>
      <c r="O785" s="138"/>
      <c r="P785" s="138"/>
      <c r="Q785" s="138"/>
      <c r="R785" s="138"/>
      <c r="T785" s="67"/>
      <c r="U785" s="67"/>
      <c r="V785" s="67"/>
      <c r="W785" s="67"/>
      <c r="X785" s="67"/>
      <c r="Y785" s="67"/>
    </row>
    <row r="786" spans="1:25" ht="18.75">
      <c r="A786" s="138"/>
      <c r="B786" s="138"/>
      <c r="C786" s="143" t="s">
        <v>493</v>
      </c>
      <c r="D786" s="141"/>
      <c r="E786" s="138"/>
      <c r="F786" s="138"/>
      <c r="G786" s="138"/>
      <c r="H786" s="138"/>
      <c r="I786" s="138"/>
      <c r="J786" s="138"/>
      <c r="K786" s="138"/>
      <c r="L786" s="138"/>
      <c r="M786" s="138"/>
      <c r="N786" s="138"/>
      <c r="O786" s="138"/>
      <c r="P786" s="138"/>
      <c r="Q786" s="138"/>
      <c r="R786" s="138"/>
      <c r="T786" s="67"/>
      <c r="U786" s="67"/>
      <c r="V786" s="67"/>
      <c r="W786" s="67"/>
      <c r="X786" s="67"/>
      <c r="Y786" s="67"/>
    </row>
    <row r="787" spans="1:25" ht="18.75">
      <c r="A787" s="138"/>
      <c r="B787" s="138"/>
      <c r="C787" s="138" t="s">
        <v>41</v>
      </c>
      <c r="D787" s="141"/>
      <c r="E787" s="138"/>
      <c r="F787" s="138"/>
      <c r="G787" s="138"/>
      <c r="H787" s="138"/>
      <c r="I787" s="138"/>
      <c r="J787" s="138"/>
      <c r="K787" s="138"/>
      <c r="L787" s="138"/>
      <c r="M787" s="138"/>
      <c r="N787" s="138"/>
      <c r="O787" s="138"/>
      <c r="P787" s="138"/>
      <c r="Q787" s="138"/>
      <c r="R787" s="138"/>
      <c r="T787" s="67"/>
      <c r="U787" s="67"/>
      <c r="V787" s="67"/>
      <c r="W787" s="67"/>
      <c r="X787" s="67"/>
      <c r="Y787" s="67"/>
    </row>
    <row r="788" spans="1:25" ht="18.75">
      <c r="A788" s="138">
        <v>1</v>
      </c>
      <c r="B788" s="138">
        <v>1</v>
      </c>
      <c r="C788" s="138" t="s">
        <v>189</v>
      </c>
      <c r="D788" s="137" t="s">
        <v>507</v>
      </c>
      <c r="E788" s="136">
        <f>'TISWADI '!D249</f>
        <v>0</v>
      </c>
      <c r="F788" s="136">
        <f>'TISWADI '!E249</f>
        <v>0</v>
      </c>
      <c r="G788" s="136">
        <f>'TISWADI '!F249</f>
        <v>0</v>
      </c>
      <c r="H788" s="136">
        <f>'TISWADI '!G249</f>
        <v>0</v>
      </c>
      <c r="I788" s="136">
        <f>'TISWADI '!H249</f>
        <v>0</v>
      </c>
      <c r="J788" s="136">
        <f>'TISWADI '!I249</f>
        <v>0</v>
      </c>
      <c r="K788" s="136">
        <f>'TISWADI '!J249</f>
        <v>1045.7665529212716</v>
      </c>
      <c r="L788" s="136">
        <f>'TISWADI '!K249</f>
        <v>480.35496925927805</v>
      </c>
      <c r="M788" s="136">
        <f>'TISWADI '!L249</f>
        <v>733.6330439596246</v>
      </c>
      <c r="N788" s="136">
        <f>'TISWADI '!M249</f>
        <v>1082.982112511827</v>
      </c>
      <c r="O788" s="136">
        <f>'TISWADI '!N249</f>
        <v>44.84</v>
      </c>
      <c r="P788" s="136">
        <f>'TISWADI '!O249</f>
        <v>277.14</v>
      </c>
      <c r="Q788" s="136">
        <f>'TISWADI '!P249</f>
        <v>550</v>
      </c>
      <c r="R788" s="136">
        <f>'TISWADI '!S249</f>
        <v>4214.716678652001</v>
      </c>
      <c r="T788" s="66">
        <v>0</v>
      </c>
      <c r="U788" s="66">
        <v>0</v>
      </c>
      <c r="V788" s="66">
        <v>0</v>
      </c>
      <c r="W788" s="66">
        <v>242.548576</v>
      </c>
      <c r="X788" s="66">
        <v>3648.68388544</v>
      </c>
      <c r="Y788" s="66">
        <v>3892.23246144</v>
      </c>
    </row>
    <row r="789" spans="1:25" ht="18.75">
      <c r="A789" s="138"/>
      <c r="B789" s="138"/>
      <c r="C789" s="138"/>
      <c r="D789" s="141"/>
      <c r="E789" s="138"/>
      <c r="F789" s="138"/>
      <c r="G789" s="138"/>
      <c r="H789" s="138"/>
      <c r="I789" s="138"/>
      <c r="J789" s="138"/>
      <c r="K789" s="138"/>
      <c r="L789" s="138"/>
      <c r="M789" s="138"/>
      <c r="N789" s="138"/>
      <c r="O789" s="138"/>
      <c r="P789" s="138"/>
      <c r="Q789" s="138"/>
      <c r="R789" s="138"/>
      <c r="T789" s="67"/>
      <c r="U789" s="67"/>
      <c r="V789" s="67"/>
      <c r="W789" s="67"/>
      <c r="X789" s="67"/>
      <c r="Y789" s="67"/>
    </row>
    <row r="790" spans="1:25" ht="18.75">
      <c r="A790" s="138"/>
      <c r="B790" s="138"/>
      <c r="C790" s="138" t="s">
        <v>42</v>
      </c>
      <c r="D790" s="141"/>
      <c r="E790" s="138"/>
      <c r="F790" s="138"/>
      <c r="G790" s="138"/>
      <c r="H790" s="138"/>
      <c r="I790" s="138"/>
      <c r="J790" s="138"/>
      <c r="K790" s="138"/>
      <c r="L790" s="138"/>
      <c r="M790" s="138"/>
      <c r="N790" s="138"/>
      <c r="O790" s="138"/>
      <c r="P790" s="138"/>
      <c r="Q790" s="138"/>
      <c r="R790" s="138"/>
      <c r="T790" s="67"/>
      <c r="U790" s="67"/>
      <c r="V790" s="67"/>
      <c r="W790" s="67"/>
      <c r="X790" s="67"/>
      <c r="Y790" s="67"/>
    </row>
    <row r="791" spans="1:25" ht="18.75">
      <c r="A791" s="138"/>
      <c r="B791" s="138">
        <v>2</v>
      </c>
      <c r="C791" s="138" t="s">
        <v>342</v>
      </c>
      <c r="D791" s="137" t="s">
        <v>507</v>
      </c>
      <c r="E791" s="136">
        <f>BARDEZ!D227</f>
        <v>0</v>
      </c>
      <c r="F791" s="136">
        <f>BARDEZ!E227</f>
        <v>0</v>
      </c>
      <c r="G791" s="136">
        <f>BARDEZ!F227</f>
        <v>0</v>
      </c>
      <c r="H791" s="136">
        <f>BARDEZ!G227</f>
        <v>0</v>
      </c>
      <c r="I791" s="136">
        <f>BARDEZ!H227</f>
        <v>0</v>
      </c>
      <c r="J791" s="136">
        <f>BARDEZ!I227</f>
        <v>0</v>
      </c>
      <c r="K791" s="136">
        <f>BARDEZ!J227</f>
        <v>522.8832764606358</v>
      </c>
      <c r="L791" s="136">
        <f>BARDEZ!K227</f>
        <v>399.62975811919983</v>
      </c>
      <c r="M791" s="136">
        <f>BARDEZ!L227</f>
        <v>610.3436305820507</v>
      </c>
      <c r="N791" s="136">
        <f>BARDEZ!M227</f>
        <v>900.9834546687415</v>
      </c>
      <c r="O791" s="136">
        <f>BARDEZ!N227</f>
        <v>39.2375</v>
      </c>
      <c r="P791" s="136">
        <f>BARDEZ!O227</f>
        <v>240</v>
      </c>
      <c r="Q791" s="136">
        <f>BARDEZ!P227</f>
        <v>495</v>
      </c>
      <c r="R791" s="136">
        <f>BARDEZ!R227</f>
        <v>3208.077619830628</v>
      </c>
      <c r="T791" s="66">
        <v>0</v>
      </c>
      <c r="U791" s="66">
        <v>0</v>
      </c>
      <c r="V791" s="66">
        <v>0</v>
      </c>
      <c r="W791" s="66">
        <v>121.274288</v>
      </c>
      <c r="X791" s="66">
        <v>3035.51072</v>
      </c>
      <c r="Y791" s="66">
        <v>3156.785008</v>
      </c>
    </row>
    <row r="792" spans="1:25" ht="18.75">
      <c r="A792" s="138"/>
      <c r="B792" s="138">
        <v>3</v>
      </c>
      <c r="C792" s="138" t="s">
        <v>273</v>
      </c>
      <c r="D792" s="137" t="s">
        <v>507</v>
      </c>
      <c r="E792" s="136">
        <f>BARDEZ!D228</f>
        <v>0</v>
      </c>
      <c r="F792" s="136">
        <f>BARDEZ!E228</f>
        <v>0</v>
      </c>
      <c r="G792" s="136">
        <f>BARDEZ!F228</f>
        <v>0</v>
      </c>
      <c r="H792" s="136">
        <f>BARDEZ!G228</f>
        <v>0</v>
      </c>
      <c r="I792" s="136">
        <f>BARDEZ!H228</f>
        <v>0</v>
      </c>
      <c r="J792" s="136">
        <f>BARDEZ!I228</f>
        <v>0</v>
      </c>
      <c r="K792" s="136">
        <f>BARDEZ!J228</f>
        <v>522.8832764606358</v>
      </c>
      <c r="L792" s="136">
        <f>BARDEZ!K228</f>
        <v>399.62975811919983</v>
      </c>
      <c r="M792" s="136">
        <f>BARDEZ!L228</f>
        <v>610.3436305820507</v>
      </c>
      <c r="N792" s="136">
        <f>BARDEZ!M228</f>
        <v>900.9834546687415</v>
      </c>
      <c r="O792" s="136">
        <f>BARDEZ!N228</f>
        <v>39.2375</v>
      </c>
      <c r="P792" s="136">
        <f>BARDEZ!O228</f>
        <v>240</v>
      </c>
      <c r="Q792" s="136">
        <f>BARDEZ!P228</f>
        <v>495</v>
      </c>
      <c r="R792" s="136">
        <f>BARDEZ!R228</f>
        <v>3208.077619830628</v>
      </c>
      <c r="T792" s="66">
        <v>0</v>
      </c>
      <c r="U792" s="66">
        <v>0</v>
      </c>
      <c r="V792" s="66">
        <v>0</v>
      </c>
      <c r="W792" s="66">
        <v>121.274288</v>
      </c>
      <c r="X792" s="66">
        <v>3035.51072</v>
      </c>
      <c r="Y792" s="66">
        <v>3156.785008</v>
      </c>
    </row>
    <row r="793" spans="1:25" ht="18.75">
      <c r="A793" s="138">
        <v>2</v>
      </c>
      <c r="B793" s="138"/>
      <c r="C793" s="138" t="s">
        <v>78</v>
      </c>
      <c r="D793" s="137"/>
      <c r="E793" s="136">
        <f>BARDEZ!D229</f>
        <v>0</v>
      </c>
      <c r="F793" s="136">
        <f>BARDEZ!E229</f>
        <v>0</v>
      </c>
      <c r="G793" s="136">
        <f>BARDEZ!F229</f>
        <v>0</v>
      </c>
      <c r="H793" s="136">
        <f>BARDEZ!G229</f>
        <v>0</v>
      </c>
      <c r="I793" s="136">
        <f>BARDEZ!H229</f>
        <v>0</v>
      </c>
      <c r="J793" s="136">
        <f>BARDEZ!I229</f>
        <v>0</v>
      </c>
      <c r="K793" s="136">
        <f>BARDEZ!J229</f>
        <v>1045.7665529212716</v>
      </c>
      <c r="L793" s="136">
        <f>BARDEZ!K229</f>
        <v>799.2595162383997</v>
      </c>
      <c r="M793" s="136">
        <f>BARDEZ!L229</f>
        <v>1220.6872611641013</v>
      </c>
      <c r="N793" s="136">
        <f>BARDEZ!M229</f>
        <v>1801.966909337483</v>
      </c>
      <c r="O793" s="136">
        <f>BARDEZ!N229</f>
        <v>78.475</v>
      </c>
      <c r="P793" s="136">
        <f>BARDEZ!O229</f>
        <v>480</v>
      </c>
      <c r="Q793" s="136">
        <f>BARDEZ!P229</f>
        <v>990</v>
      </c>
      <c r="R793" s="136">
        <f>BARDEZ!R229</f>
        <v>6416.155239661256</v>
      </c>
      <c r="T793" s="66">
        <v>0</v>
      </c>
      <c r="U793" s="66">
        <v>0</v>
      </c>
      <c r="V793" s="66">
        <v>0</v>
      </c>
      <c r="W793" s="66">
        <v>241.548576</v>
      </c>
      <c r="X793" s="66">
        <v>6072.02144</v>
      </c>
      <c r="Y793" s="66">
        <v>6313.570016</v>
      </c>
    </row>
    <row r="794" spans="1:25" ht="18.75">
      <c r="A794" s="138"/>
      <c r="B794" s="138"/>
      <c r="C794" s="138"/>
      <c r="D794" s="141"/>
      <c r="E794" s="138"/>
      <c r="F794" s="138"/>
      <c r="G794" s="138"/>
      <c r="H794" s="138"/>
      <c r="I794" s="138"/>
      <c r="J794" s="138"/>
      <c r="K794" s="138"/>
      <c r="L794" s="138"/>
      <c r="M794" s="138"/>
      <c r="N794" s="138"/>
      <c r="O794" s="138"/>
      <c r="P794" s="138"/>
      <c r="Q794" s="138"/>
      <c r="R794" s="138"/>
      <c r="T794" s="67"/>
      <c r="U794" s="67"/>
      <c r="V794" s="67"/>
      <c r="W794" s="67"/>
      <c r="X794" s="67"/>
      <c r="Y794" s="67"/>
    </row>
    <row r="795" spans="1:25" ht="18.75">
      <c r="A795" s="138"/>
      <c r="B795" s="138"/>
      <c r="C795" s="138"/>
      <c r="D795" s="141"/>
      <c r="E795" s="138"/>
      <c r="F795" s="138"/>
      <c r="G795" s="138"/>
      <c r="H795" s="138"/>
      <c r="I795" s="138"/>
      <c r="J795" s="138"/>
      <c r="K795" s="138"/>
      <c r="L795" s="138"/>
      <c r="M795" s="138"/>
      <c r="N795" s="138"/>
      <c r="O795" s="138"/>
      <c r="P795" s="138"/>
      <c r="Q795" s="138"/>
      <c r="R795" s="138"/>
      <c r="T795" s="67"/>
      <c r="U795" s="67"/>
      <c r="V795" s="67"/>
      <c r="W795" s="67"/>
      <c r="X795" s="67"/>
      <c r="Y795" s="67"/>
    </row>
    <row r="796" spans="1:25" ht="18.75">
      <c r="A796" s="138"/>
      <c r="B796" s="138"/>
      <c r="C796" s="138" t="s">
        <v>43</v>
      </c>
      <c r="D796" s="141"/>
      <c r="E796" s="138"/>
      <c r="F796" s="138"/>
      <c r="G796" s="138"/>
      <c r="H796" s="138"/>
      <c r="I796" s="138"/>
      <c r="J796" s="138"/>
      <c r="K796" s="138"/>
      <c r="L796" s="138"/>
      <c r="M796" s="138"/>
      <c r="N796" s="138"/>
      <c r="O796" s="138"/>
      <c r="P796" s="138"/>
      <c r="Q796" s="138"/>
      <c r="R796" s="138"/>
      <c r="T796" s="67"/>
      <c r="U796" s="67"/>
      <c r="V796" s="67"/>
      <c r="W796" s="67"/>
      <c r="X796" s="67"/>
      <c r="Y796" s="67"/>
    </row>
    <row r="797" spans="1:25" ht="18.75">
      <c r="A797" s="138"/>
      <c r="B797" s="138">
        <v>5</v>
      </c>
      <c r="C797" s="138" t="s">
        <v>393</v>
      </c>
      <c r="D797" s="137" t="s">
        <v>507</v>
      </c>
      <c r="E797" s="136">
        <f>BICHOLIM!D71</f>
        <v>0</v>
      </c>
      <c r="F797" s="136">
        <f>BICHOLIM!E71</f>
        <v>0</v>
      </c>
      <c r="G797" s="136">
        <f>BICHOLIM!F71</f>
        <v>0</v>
      </c>
      <c r="H797" s="136">
        <f>BICHOLIM!G71</f>
        <v>0</v>
      </c>
      <c r="I797" s="136">
        <f>BICHOLIM!H71</f>
        <v>0</v>
      </c>
      <c r="J797" s="136">
        <f>BICHOLIM!I71</f>
        <v>0</v>
      </c>
      <c r="K797" s="136">
        <f>BICHOLIM!J71</f>
        <v>522.8832764606358</v>
      </c>
      <c r="L797" s="136">
        <f>BICHOLIM!K71</f>
        <v>267.9781861164497</v>
      </c>
      <c r="M797" s="136">
        <f>BICHOLIM!L71</f>
        <v>409.27577515966857</v>
      </c>
      <c r="N797" s="136">
        <f>BICHOLIM!M71</f>
        <v>1604.1690014261776</v>
      </c>
      <c r="O797" s="136">
        <f>BICHOLIM!N71</f>
        <v>150</v>
      </c>
      <c r="P797" s="136">
        <f>BICHOLIM!O71</f>
        <v>1010</v>
      </c>
      <c r="Q797" s="136">
        <f>BICHOLIM!P71</f>
        <v>2009</v>
      </c>
      <c r="R797" s="136">
        <f>BICHOLIM!R71</f>
        <v>5973.306239162932</v>
      </c>
      <c r="T797" s="66">
        <v>0</v>
      </c>
      <c r="U797" s="66">
        <v>0</v>
      </c>
      <c r="V797" s="66">
        <v>0</v>
      </c>
      <c r="W797" s="66">
        <v>121.274288</v>
      </c>
      <c r="X797" s="66">
        <v>2035.51072</v>
      </c>
      <c r="Y797" s="66">
        <v>2156.785008</v>
      </c>
    </row>
    <row r="798" spans="1:25" ht="18.75">
      <c r="A798" s="138"/>
      <c r="B798" s="138">
        <v>6</v>
      </c>
      <c r="C798" s="138" t="s">
        <v>510</v>
      </c>
      <c r="D798" s="137" t="s">
        <v>507</v>
      </c>
      <c r="E798" s="136">
        <f>BICHOLIM!D87</f>
        <v>2</v>
      </c>
      <c r="F798" s="136">
        <f>BICHOLIM!E87</f>
        <v>0</v>
      </c>
      <c r="G798" s="136">
        <f>BICHOLIM!F87</f>
        <v>2</v>
      </c>
      <c r="H798" s="136">
        <f>BICHOLIM!G87</f>
        <v>0</v>
      </c>
      <c r="I798" s="136">
        <f>BICHOLIM!H87</f>
        <v>0</v>
      </c>
      <c r="J798" s="136">
        <f>BICHOLIM!I87</f>
        <v>2</v>
      </c>
      <c r="K798" s="136">
        <f>BICHOLIM!J87</f>
        <v>24.86945436252584</v>
      </c>
      <c r="L798" s="136">
        <f>BICHOLIM!K87</f>
        <v>131.6515720027501</v>
      </c>
      <c r="M798" s="136">
        <f>BICHOLIM!L87</f>
        <v>201.06785542238194</v>
      </c>
      <c r="N798" s="136">
        <f>BICHOLIM!M87</f>
        <v>296.81445324256384</v>
      </c>
      <c r="O798" s="136">
        <f>BICHOLIM!N87</f>
        <v>125</v>
      </c>
      <c r="P798" s="136">
        <f>BICHOLIM!O87</f>
        <v>1100</v>
      </c>
      <c r="Q798" s="136">
        <f>BICHOLIM!P87</f>
        <v>2009</v>
      </c>
      <c r="R798" s="136">
        <f>BICHOLIM!R87</f>
        <v>3890.4033350302216</v>
      </c>
      <c r="T798" s="66">
        <v>1</v>
      </c>
      <c r="U798" s="66">
        <v>0</v>
      </c>
      <c r="V798" s="66">
        <v>1</v>
      </c>
      <c r="W798" s="66">
        <v>6</v>
      </c>
      <c r="X798" s="66">
        <v>1000</v>
      </c>
      <c r="Y798" s="66">
        <v>1007</v>
      </c>
    </row>
    <row r="799" spans="1:25" ht="18.75">
      <c r="A799" s="138">
        <v>2</v>
      </c>
      <c r="B799" s="138"/>
      <c r="C799" s="138" t="s">
        <v>17</v>
      </c>
      <c r="D799" s="137"/>
      <c r="E799" s="136">
        <f aca="true" t="shared" si="45" ref="E799:R799">SUM(E797:E798)</f>
        <v>2</v>
      </c>
      <c r="F799" s="136">
        <f t="shared" si="45"/>
        <v>0</v>
      </c>
      <c r="G799" s="136">
        <f t="shared" si="45"/>
        <v>2</v>
      </c>
      <c r="H799" s="136">
        <f t="shared" si="45"/>
        <v>0</v>
      </c>
      <c r="I799" s="136">
        <f t="shared" si="45"/>
        <v>0</v>
      </c>
      <c r="J799" s="136">
        <f t="shared" si="45"/>
        <v>2</v>
      </c>
      <c r="K799" s="136">
        <f t="shared" si="45"/>
        <v>547.7527308231616</v>
      </c>
      <c r="L799" s="136">
        <f t="shared" si="45"/>
        <v>399.6297581191998</v>
      </c>
      <c r="M799" s="136">
        <f t="shared" si="45"/>
        <v>610.3436305820505</v>
      </c>
      <c r="N799" s="136">
        <f t="shared" si="45"/>
        <v>1900.9834546687414</v>
      </c>
      <c r="O799" s="136">
        <f t="shared" si="45"/>
        <v>275</v>
      </c>
      <c r="P799" s="136">
        <f t="shared" si="45"/>
        <v>2110</v>
      </c>
      <c r="Q799" s="136">
        <f t="shared" si="45"/>
        <v>4018</v>
      </c>
      <c r="R799" s="136">
        <f t="shared" si="45"/>
        <v>9863.709574193153</v>
      </c>
      <c r="T799" s="66">
        <v>1</v>
      </c>
      <c r="U799" s="66">
        <v>0</v>
      </c>
      <c r="V799" s="66">
        <v>1</v>
      </c>
      <c r="W799" s="66">
        <v>127.274288</v>
      </c>
      <c r="X799" s="66">
        <v>3035.51072</v>
      </c>
      <c r="Y799" s="66">
        <v>3163.785008</v>
      </c>
    </row>
    <row r="800" spans="1:25" ht="18.75">
      <c r="A800" s="138"/>
      <c r="B800" s="138"/>
      <c r="C800" s="138"/>
      <c r="D800" s="141"/>
      <c r="E800" s="138"/>
      <c r="F800" s="138"/>
      <c r="G800" s="138"/>
      <c r="H800" s="138"/>
      <c r="I800" s="138"/>
      <c r="J800" s="138"/>
      <c r="K800" s="138"/>
      <c r="L800" s="138"/>
      <c r="M800" s="138"/>
      <c r="N800" s="138"/>
      <c r="O800" s="138"/>
      <c r="P800" s="138"/>
      <c r="Q800" s="138"/>
      <c r="R800" s="138"/>
      <c r="T800" s="67"/>
      <c r="U800" s="67"/>
      <c r="V800" s="67"/>
      <c r="W800" s="67"/>
      <c r="X800" s="67"/>
      <c r="Y800" s="67"/>
    </row>
    <row r="801" spans="1:25" ht="18.75">
      <c r="A801" s="138">
        <v>6</v>
      </c>
      <c r="B801" s="143"/>
      <c r="C801" s="143" t="s">
        <v>17</v>
      </c>
      <c r="D801" s="144"/>
      <c r="E801" s="145">
        <f aca="true" t="shared" si="46" ref="E801:R801">E788+E793+E799</f>
        <v>2</v>
      </c>
      <c r="F801" s="145">
        <f t="shared" si="46"/>
        <v>0</v>
      </c>
      <c r="G801" s="145">
        <f t="shared" si="46"/>
        <v>2</v>
      </c>
      <c r="H801" s="145">
        <f t="shared" si="46"/>
        <v>0</v>
      </c>
      <c r="I801" s="145">
        <f t="shared" si="46"/>
        <v>0</v>
      </c>
      <c r="J801" s="145">
        <f t="shared" si="46"/>
        <v>2</v>
      </c>
      <c r="K801" s="145">
        <f t="shared" si="46"/>
        <v>2639.2858366657047</v>
      </c>
      <c r="L801" s="145">
        <f t="shared" si="46"/>
        <v>1679.2442436168776</v>
      </c>
      <c r="M801" s="145">
        <f t="shared" si="46"/>
        <v>2564.6639357057766</v>
      </c>
      <c r="N801" s="145">
        <f t="shared" si="46"/>
        <v>4785.932476518052</v>
      </c>
      <c r="O801" s="145">
        <f t="shared" si="46"/>
        <v>398.315</v>
      </c>
      <c r="P801" s="145">
        <f t="shared" si="46"/>
        <v>2867.14</v>
      </c>
      <c r="Q801" s="145">
        <f t="shared" si="46"/>
        <v>5558</v>
      </c>
      <c r="R801" s="145">
        <f t="shared" si="46"/>
        <v>20494.58149250641</v>
      </c>
      <c r="T801" s="71">
        <v>1</v>
      </c>
      <c r="U801" s="71">
        <v>0</v>
      </c>
      <c r="V801" s="71">
        <v>1</v>
      </c>
      <c r="W801" s="71">
        <v>732.645728</v>
      </c>
      <c r="X801" s="71">
        <v>15792.72676544</v>
      </c>
      <c r="Y801" s="71">
        <v>16527.37249344</v>
      </c>
    </row>
    <row r="802" spans="1:25" ht="18.75">
      <c r="A802" s="138"/>
      <c r="B802" s="138"/>
      <c r="C802" s="138"/>
      <c r="D802" s="141"/>
      <c r="E802" s="138"/>
      <c r="F802" s="138"/>
      <c r="G802" s="138"/>
      <c r="H802" s="138"/>
      <c r="I802" s="138"/>
      <c r="J802" s="138"/>
      <c r="K802" s="138"/>
      <c r="L802" s="138"/>
      <c r="M802" s="138"/>
      <c r="N802" s="138"/>
      <c r="O802" s="138"/>
      <c r="P802" s="138"/>
      <c r="Q802" s="138"/>
      <c r="R802" s="138"/>
      <c r="T802" s="67"/>
      <c r="U802" s="67"/>
      <c r="V802" s="67"/>
      <c r="W802" s="67"/>
      <c r="X802" s="67"/>
      <c r="Y802" s="67"/>
    </row>
    <row r="803" spans="1:25" ht="18.75">
      <c r="A803" s="138"/>
      <c r="B803" s="138"/>
      <c r="C803" s="143" t="s">
        <v>494</v>
      </c>
      <c r="D803" s="141"/>
      <c r="E803" s="138"/>
      <c r="F803" s="138"/>
      <c r="G803" s="138"/>
      <c r="H803" s="138"/>
      <c r="I803" s="138"/>
      <c r="J803" s="138"/>
      <c r="K803" s="138"/>
      <c r="L803" s="138"/>
      <c r="M803" s="138"/>
      <c r="N803" s="138"/>
      <c r="O803" s="138"/>
      <c r="P803" s="138"/>
      <c r="Q803" s="138"/>
      <c r="R803" s="138"/>
      <c r="T803" s="67"/>
      <c r="U803" s="67"/>
      <c r="V803" s="67"/>
      <c r="W803" s="67"/>
      <c r="X803" s="67"/>
      <c r="Y803" s="67"/>
    </row>
    <row r="804" spans="1:25" ht="18.75">
      <c r="A804" s="138"/>
      <c r="B804" s="138"/>
      <c r="C804" s="138" t="s">
        <v>41</v>
      </c>
      <c r="D804" s="141"/>
      <c r="E804" s="138"/>
      <c r="F804" s="138"/>
      <c r="G804" s="138"/>
      <c r="H804" s="138"/>
      <c r="I804" s="138"/>
      <c r="J804" s="138"/>
      <c r="K804" s="138"/>
      <c r="L804" s="138"/>
      <c r="M804" s="138"/>
      <c r="N804" s="138"/>
      <c r="O804" s="138"/>
      <c r="P804" s="138"/>
      <c r="Q804" s="138"/>
      <c r="R804" s="138"/>
      <c r="T804" s="67"/>
      <c r="U804" s="67"/>
      <c r="V804" s="67"/>
      <c r="W804" s="67"/>
      <c r="X804" s="67"/>
      <c r="Y804" s="67"/>
    </row>
    <row r="805" spans="1:25" ht="18.75">
      <c r="A805" s="138">
        <v>1</v>
      </c>
      <c r="B805" s="138">
        <v>1</v>
      </c>
      <c r="C805" s="138" t="s">
        <v>195</v>
      </c>
      <c r="D805" s="137" t="s">
        <v>507</v>
      </c>
      <c r="E805" s="136">
        <f>'TISWADI '!D261</f>
        <v>0</v>
      </c>
      <c r="F805" s="136">
        <f>'TISWADI '!E261</f>
        <v>0</v>
      </c>
      <c r="G805" s="136">
        <f>'TISWADI '!F261</f>
        <v>0</v>
      </c>
      <c r="H805" s="136">
        <f>'TISWADI '!G261</f>
        <v>0</v>
      </c>
      <c r="I805" s="136">
        <f>'TISWADI '!H261</f>
        <v>0</v>
      </c>
      <c r="J805" s="136">
        <f>'TISWADI '!I261</f>
        <v>0</v>
      </c>
      <c r="K805" s="136">
        <f>'TISWADI '!J261</f>
        <v>522.8832764606358</v>
      </c>
      <c r="L805" s="136">
        <f>'TISWADI '!K261</f>
        <v>171.9047457950169</v>
      </c>
      <c r="M805" s="136">
        <f>'TISWADI '!L261</f>
        <v>262.54542994148034</v>
      </c>
      <c r="N805" s="136">
        <f>'TISWADI '!M261</f>
        <v>387.56706324694716</v>
      </c>
      <c r="O805" s="136">
        <f>'TISWADI '!N261</f>
        <v>42</v>
      </c>
      <c r="P805" s="136">
        <f>'TISWADI '!O261</f>
        <v>276</v>
      </c>
      <c r="Q805" s="136">
        <f>'TISWADI '!P261</f>
        <v>550</v>
      </c>
      <c r="R805" s="136">
        <f>'TISWADI '!S261</f>
        <v>2212.90051544408</v>
      </c>
      <c r="T805" s="66">
        <v>0</v>
      </c>
      <c r="U805" s="66">
        <v>0</v>
      </c>
      <c r="V805" s="66">
        <v>0</v>
      </c>
      <c r="W805" s="66">
        <v>121.274288</v>
      </c>
      <c r="X805" s="66">
        <v>1305.75536</v>
      </c>
      <c r="Y805" s="66">
        <v>1427.029648</v>
      </c>
    </row>
    <row r="806" spans="1:25" ht="18.75">
      <c r="A806" s="138"/>
      <c r="B806" s="138"/>
      <c r="C806" s="138"/>
      <c r="D806" s="141"/>
      <c r="E806" s="138"/>
      <c r="F806" s="138"/>
      <c r="G806" s="138"/>
      <c r="H806" s="138"/>
      <c r="I806" s="138"/>
      <c r="J806" s="138"/>
      <c r="K806" s="138"/>
      <c r="L806" s="138"/>
      <c r="M806" s="138"/>
      <c r="N806" s="138"/>
      <c r="O806" s="138"/>
      <c r="P806" s="138"/>
      <c r="Q806" s="138"/>
      <c r="R806" s="138"/>
      <c r="T806" s="67"/>
      <c r="U806" s="67"/>
      <c r="V806" s="67"/>
      <c r="W806" s="67"/>
      <c r="X806" s="67"/>
      <c r="Y806" s="67"/>
    </row>
    <row r="807" spans="1:25" ht="18.75">
      <c r="A807" s="138"/>
      <c r="B807" s="138"/>
      <c r="C807" s="138" t="s">
        <v>42</v>
      </c>
      <c r="D807" s="141"/>
      <c r="E807" s="138"/>
      <c r="F807" s="138"/>
      <c r="G807" s="138"/>
      <c r="H807" s="138"/>
      <c r="I807" s="138"/>
      <c r="J807" s="138"/>
      <c r="K807" s="138"/>
      <c r="L807" s="138"/>
      <c r="M807" s="138"/>
      <c r="N807" s="138"/>
      <c r="O807" s="138"/>
      <c r="P807" s="138"/>
      <c r="Q807" s="138"/>
      <c r="R807" s="138"/>
      <c r="T807" s="67"/>
      <c r="U807" s="67"/>
      <c r="V807" s="67"/>
      <c r="W807" s="67"/>
      <c r="X807" s="67"/>
      <c r="Y807" s="67"/>
    </row>
    <row r="808" spans="1:25" ht="18.75">
      <c r="A808" s="138">
        <v>1</v>
      </c>
      <c r="B808" s="138">
        <v>2</v>
      </c>
      <c r="C808" s="138" t="s">
        <v>323</v>
      </c>
      <c r="D808" s="137" t="s">
        <v>507</v>
      </c>
      <c r="E808" s="136">
        <f>BARDEZ!D231</f>
        <v>0</v>
      </c>
      <c r="F808" s="136">
        <f>BARDEZ!E231</f>
        <v>0</v>
      </c>
      <c r="G808" s="136">
        <f>BARDEZ!F231</f>
        <v>0</v>
      </c>
      <c r="H808" s="136">
        <f>BARDEZ!G231</f>
        <v>0</v>
      </c>
      <c r="I808" s="136">
        <f>BARDEZ!H231</f>
        <v>0</v>
      </c>
      <c r="J808" s="136">
        <f>BARDEZ!I231</f>
        <v>0</v>
      </c>
      <c r="K808" s="136">
        <f>BARDEZ!J231</f>
        <v>0</v>
      </c>
      <c r="L808" s="136">
        <f>BARDEZ!K231</f>
        <v>399.62975811919983</v>
      </c>
      <c r="M808" s="136">
        <f>BARDEZ!L231</f>
        <v>610.3436305820507</v>
      </c>
      <c r="N808" s="136">
        <f>BARDEZ!M231</f>
        <v>900.9834546687415</v>
      </c>
      <c r="O808" s="136">
        <f>BARDEZ!N231</f>
        <v>0</v>
      </c>
      <c r="P808" s="136">
        <f>BARDEZ!O231</f>
        <v>240</v>
      </c>
      <c r="Q808" s="136">
        <f>BARDEZ!P231</f>
        <v>495</v>
      </c>
      <c r="R808" s="136">
        <f>BARDEZ!R231</f>
        <v>2645.956843369992</v>
      </c>
      <c r="T808" s="66">
        <v>0</v>
      </c>
      <c r="U808" s="66">
        <v>0</v>
      </c>
      <c r="V808" s="66">
        <v>0</v>
      </c>
      <c r="W808" s="66">
        <v>0</v>
      </c>
      <c r="X808" s="66">
        <v>3035.51072</v>
      </c>
      <c r="Y808" s="66">
        <v>3035.51072</v>
      </c>
    </row>
    <row r="809" spans="1:25" ht="18.75">
      <c r="A809" s="138"/>
      <c r="B809" s="138"/>
      <c r="C809" s="138"/>
      <c r="D809" s="141"/>
      <c r="E809" s="138"/>
      <c r="F809" s="138"/>
      <c r="G809" s="138"/>
      <c r="H809" s="138"/>
      <c r="I809" s="138"/>
      <c r="J809" s="138"/>
      <c r="K809" s="138"/>
      <c r="L809" s="138"/>
      <c r="M809" s="138"/>
      <c r="N809" s="138"/>
      <c r="O809" s="138"/>
      <c r="P809" s="138"/>
      <c r="Q809" s="138"/>
      <c r="R809" s="138"/>
      <c r="T809" s="67"/>
      <c r="U809" s="67"/>
      <c r="V809" s="67"/>
      <c r="W809" s="67"/>
      <c r="X809" s="67"/>
      <c r="Y809" s="67"/>
    </row>
    <row r="810" spans="1:25" ht="18.75">
      <c r="A810" s="138">
        <v>2</v>
      </c>
      <c r="B810" s="138"/>
      <c r="C810" s="143" t="s">
        <v>17</v>
      </c>
      <c r="D810" s="144"/>
      <c r="E810" s="145">
        <f aca="true" t="shared" si="47" ref="E810:R810">E805+E808</f>
        <v>0</v>
      </c>
      <c r="F810" s="145">
        <f t="shared" si="47"/>
        <v>0</v>
      </c>
      <c r="G810" s="145">
        <f t="shared" si="47"/>
        <v>0</v>
      </c>
      <c r="H810" s="145">
        <f t="shared" si="47"/>
        <v>0</v>
      </c>
      <c r="I810" s="145">
        <f t="shared" si="47"/>
        <v>0</v>
      </c>
      <c r="J810" s="145">
        <f t="shared" si="47"/>
        <v>0</v>
      </c>
      <c r="K810" s="145">
        <f t="shared" si="47"/>
        <v>522.8832764606358</v>
      </c>
      <c r="L810" s="145">
        <f t="shared" si="47"/>
        <v>571.5345039142168</v>
      </c>
      <c r="M810" s="145">
        <f t="shared" si="47"/>
        <v>872.889060523531</v>
      </c>
      <c r="N810" s="145">
        <f t="shared" si="47"/>
        <v>1288.5505179156887</v>
      </c>
      <c r="O810" s="145">
        <f t="shared" si="47"/>
        <v>42</v>
      </c>
      <c r="P810" s="145">
        <f t="shared" si="47"/>
        <v>516</v>
      </c>
      <c r="Q810" s="145">
        <f t="shared" si="47"/>
        <v>1045</v>
      </c>
      <c r="R810" s="145">
        <f t="shared" si="47"/>
        <v>4858.857358814072</v>
      </c>
      <c r="T810" s="71">
        <v>0</v>
      </c>
      <c r="U810" s="71">
        <v>0</v>
      </c>
      <c r="V810" s="71">
        <v>0</v>
      </c>
      <c r="W810" s="71">
        <v>121.274288</v>
      </c>
      <c r="X810" s="71">
        <v>4342.26608</v>
      </c>
      <c r="Y810" s="71">
        <v>4462.540368</v>
      </c>
    </row>
    <row r="811" spans="1:25" ht="18.75">
      <c r="A811" s="138"/>
      <c r="B811" s="138"/>
      <c r="C811" s="138"/>
      <c r="D811" s="141"/>
      <c r="E811" s="138"/>
      <c r="F811" s="138"/>
      <c r="G811" s="138"/>
      <c r="H811" s="138"/>
      <c r="I811" s="138"/>
      <c r="J811" s="138"/>
      <c r="K811" s="138"/>
      <c r="L811" s="138"/>
      <c r="M811" s="138"/>
      <c r="N811" s="138"/>
      <c r="O811" s="138"/>
      <c r="P811" s="138"/>
      <c r="Q811" s="138"/>
      <c r="R811" s="138"/>
      <c r="T811" s="67"/>
      <c r="U811" s="67"/>
      <c r="V811" s="67"/>
      <c r="W811" s="67"/>
      <c r="X811" s="67"/>
      <c r="Y811" s="67"/>
    </row>
    <row r="812" spans="1:25" ht="18.75">
      <c r="A812" s="138"/>
      <c r="B812" s="138"/>
      <c r="C812" s="143" t="s">
        <v>504</v>
      </c>
      <c r="D812" s="141"/>
      <c r="E812" s="138"/>
      <c r="F812" s="138"/>
      <c r="G812" s="138"/>
      <c r="H812" s="138"/>
      <c r="I812" s="138"/>
      <c r="J812" s="138"/>
      <c r="K812" s="138"/>
      <c r="L812" s="138"/>
      <c r="M812" s="138"/>
      <c r="N812" s="138"/>
      <c r="O812" s="138"/>
      <c r="P812" s="138"/>
      <c r="Q812" s="138"/>
      <c r="R812" s="138"/>
      <c r="T812" s="67"/>
      <c r="U812" s="67"/>
      <c r="V812" s="67"/>
      <c r="W812" s="67"/>
      <c r="X812" s="67"/>
      <c r="Y812" s="67"/>
    </row>
    <row r="813" spans="1:25" ht="18.75">
      <c r="A813" s="138"/>
      <c r="B813" s="138"/>
      <c r="C813" s="138" t="s">
        <v>41</v>
      </c>
      <c r="D813" s="141"/>
      <c r="E813" s="138"/>
      <c r="F813" s="138"/>
      <c r="G813" s="138"/>
      <c r="H813" s="138"/>
      <c r="I813" s="138"/>
      <c r="J813" s="138"/>
      <c r="K813" s="138"/>
      <c r="L813" s="138"/>
      <c r="M813" s="138"/>
      <c r="N813" s="138"/>
      <c r="O813" s="138"/>
      <c r="P813" s="138"/>
      <c r="Q813" s="138"/>
      <c r="R813" s="138"/>
      <c r="T813" s="67"/>
      <c r="U813" s="67"/>
      <c r="V813" s="67"/>
      <c r="W813" s="67"/>
      <c r="X813" s="67"/>
      <c r="Y813" s="67"/>
    </row>
    <row r="814" spans="1:25" ht="18.75">
      <c r="A814" s="143">
        <v>1</v>
      </c>
      <c r="B814" s="143">
        <v>1</v>
      </c>
      <c r="C814" s="143" t="s">
        <v>190</v>
      </c>
      <c r="D814" s="144" t="s">
        <v>507</v>
      </c>
      <c r="E814" s="145">
        <f>'TISWADI '!D251</f>
        <v>0</v>
      </c>
      <c r="F814" s="145">
        <f>'TISWADI '!E251</f>
        <v>0</v>
      </c>
      <c r="G814" s="145">
        <f>'TISWADI '!F251</f>
        <v>0</v>
      </c>
      <c r="H814" s="145">
        <f>'TISWADI '!G251</f>
        <v>0</v>
      </c>
      <c r="I814" s="145">
        <f>'TISWADI '!H251</f>
        <v>0</v>
      </c>
      <c r="J814" s="145">
        <f>'TISWADI '!I251</f>
        <v>0</v>
      </c>
      <c r="K814" s="145">
        <f>'TISWADI '!J251</f>
        <v>522.8832764606358</v>
      </c>
      <c r="L814" s="145">
        <f>'TISWADI '!K251</f>
        <v>399.62975811919983</v>
      </c>
      <c r="M814" s="145">
        <f>'TISWADI '!L251</f>
        <v>610.3436305820507</v>
      </c>
      <c r="N814" s="145">
        <f>'TISWADI '!M251</f>
        <v>900.9834546687415</v>
      </c>
      <c r="O814" s="145">
        <f>'TISWADI '!N251</f>
        <v>44.84</v>
      </c>
      <c r="P814" s="145">
        <f>'TISWADI '!O251</f>
        <v>277.14</v>
      </c>
      <c r="Q814" s="145">
        <f>'TISWADI '!P251</f>
        <v>550</v>
      </c>
      <c r="R814" s="145">
        <f>'TISWADI '!S251</f>
        <v>3305.820119830628</v>
      </c>
      <c r="T814" s="71">
        <v>0</v>
      </c>
      <c r="U814" s="71">
        <v>0</v>
      </c>
      <c r="V814" s="71">
        <v>0</v>
      </c>
      <c r="W814" s="71">
        <v>121.274288</v>
      </c>
      <c r="X814" s="71">
        <v>3035.51072</v>
      </c>
      <c r="Y814" s="71">
        <v>3156.785008</v>
      </c>
    </row>
    <row r="815" spans="1:25" ht="18.75">
      <c r="A815" s="138"/>
      <c r="B815" s="138"/>
      <c r="C815" s="138"/>
      <c r="D815" s="141"/>
      <c r="E815" s="138"/>
      <c r="F815" s="138"/>
      <c r="G815" s="138"/>
      <c r="H815" s="138"/>
      <c r="I815" s="138"/>
      <c r="J815" s="138"/>
      <c r="K815" s="138"/>
      <c r="L815" s="138"/>
      <c r="M815" s="138"/>
      <c r="N815" s="138"/>
      <c r="O815" s="138"/>
      <c r="P815" s="138"/>
      <c r="Q815" s="138"/>
      <c r="R815" s="138"/>
      <c r="T815" s="67"/>
      <c r="U815" s="67"/>
      <c r="V815" s="67"/>
      <c r="W815" s="67"/>
      <c r="X815" s="67"/>
      <c r="Y815" s="67"/>
    </row>
    <row r="816" spans="1:25" ht="18.75">
      <c r="A816" s="138"/>
      <c r="B816" s="138"/>
      <c r="C816" s="138" t="s">
        <v>495</v>
      </c>
      <c r="D816" s="141"/>
      <c r="E816" s="138"/>
      <c r="F816" s="138"/>
      <c r="G816" s="138"/>
      <c r="H816" s="138"/>
      <c r="I816" s="138"/>
      <c r="J816" s="138"/>
      <c r="K816" s="138"/>
      <c r="L816" s="138"/>
      <c r="M816" s="138"/>
      <c r="N816" s="138"/>
      <c r="O816" s="138"/>
      <c r="P816" s="138"/>
      <c r="Q816" s="138"/>
      <c r="R816" s="138"/>
      <c r="T816" s="67"/>
      <c r="U816" s="67"/>
      <c r="V816" s="67"/>
      <c r="W816" s="67"/>
      <c r="X816" s="67"/>
      <c r="Y816" s="67"/>
    </row>
    <row r="817" spans="1:25" ht="18.75">
      <c r="A817" s="138">
        <v>1</v>
      </c>
      <c r="B817" s="138">
        <v>1</v>
      </c>
      <c r="C817" s="138" t="s">
        <v>41</v>
      </c>
      <c r="D817" s="137" t="s">
        <v>507</v>
      </c>
      <c r="E817" s="136">
        <f>'TISWADI '!D246</f>
        <v>0</v>
      </c>
      <c r="F817" s="136">
        <f>'TISWADI '!E246</f>
        <v>0</v>
      </c>
      <c r="G817" s="136">
        <f>'TISWADI '!F246</f>
        <v>0</v>
      </c>
      <c r="H817" s="136">
        <f>'TISWADI '!G246</f>
        <v>0</v>
      </c>
      <c r="I817" s="136">
        <f>'TISWADI '!H246</f>
        <v>0</v>
      </c>
      <c r="J817" s="136">
        <f>'TISWADI '!I246</f>
        <v>0</v>
      </c>
      <c r="K817" s="136">
        <f>'TISWADI '!J246</f>
        <v>2614.416382303179</v>
      </c>
      <c r="L817" s="136">
        <f>'TISWADI '!K246</f>
        <v>599.4446371787997</v>
      </c>
      <c r="M817" s="136">
        <f>'TISWADI '!L246</f>
        <v>915.5154458730758</v>
      </c>
      <c r="N817" s="136">
        <f>'TISWADI '!M246</f>
        <v>1351.475182003112</v>
      </c>
      <c r="O817" s="136">
        <f>'TISWADI '!N246</f>
        <v>44.84</v>
      </c>
      <c r="P817" s="136">
        <f>'TISWADI '!O246</f>
        <v>275</v>
      </c>
      <c r="Q817" s="136">
        <f>'TISWADI '!P246</f>
        <v>550</v>
      </c>
      <c r="R817" s="136">
        <f>'TISWADI '!S246</f>
        <v>6350.691647358166</v>
      </c>
      <c r="T817" s="67"/>
      <c r="U817" s="67"/>
      <c r="V817" s="67"/>
      <c r="W817" s="67"/>
      <c r="X817" s="67"/>
      <c r="Y817" s="67"/>
    </row>
    <row r="818" spans="1:25" ht="18.75">
      <c r="A818" s="138"/>
      <c r="B818" s="138"/>
      <c r="C818" s="143" t="s">
        <v>187</v>
      </c>
      <c r="D818" s="144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T818" s="71">
        <v>0</v>
      </c>
      <c r="U818" s="71">
        <v>0</v>
      </c>
      <c r="V818" s="71">
        <v>0</v>
      </c>
      <c r="W818" s="71">
        <v>606.37144</v>
      </c>
      <c r="X818" s="71">
        <v>4553.26608</v>
      </c>
      <c r="Y818" s="71">
        <v>5158.63752</v>
      </c>
    </row>
    <row r="819" spans="1:25" ht="18.75">
      <c r="A819" s="138"/>
      <c r="B819" s="138"/>
      <c r="C819" s="138"/>
      <c r="D819" s="141"/>
      <c r="E819" s="138"/>
      <c r="F819" s="138"/>
      <c r="G819" s="138"/>
      <c r="H819" s="138"/>
      <c r="I819" s="138"/>
      <c r="J819" s="138"/>
      <c r="K819" s="138"/>
      <c r="L819" s="138"/>
      <c r="M819" s="138"/>
      <c r="N819" s="138"/>
      <c r="O819" s="138"/>
      <c r="P819" s="138"/>
      <c r="Q819" s="138"/>
      <c r="R819" s="138"/>
      <c r="T819" s="67"/>
      <c r="U819" s="67"/>
      <c r="V819" s="67"/>
      <c r="W819" s="67"/>
      <c r="X819" s="67"/>
      <c r="Y819" s="67"/>
    </row>
    <row r="820" spans="1:25" ht="18.75">
      <c r="A820" s="138"/>
      <c r="B820" s="138"/>
      <c r="C820" s="143" t="s">
        <v>496</v>
      </c>
      <c r="D820" s="141"/>
      <c r="E820" s="138"/>
      <c r="F820" s="138"/>
      <c r="G820" s="138"/>
      <c r="H820" s="138"/>
      <c r="I820" s="138"/>
      <c r="J820" s="138"/>
      <c r="K820" s="138"/>
      <c r="L820" s="138"/>
      <c r="M820" s="138"/>
      <c r="N820" s="138"/>
      <c r="O820" s="138"/>
      <c r="P820" s="138"/>
      <c r="Q820" s="138"/>
      <c r="R820" s="138"/>
      <c r="T820" s="67"/>
      <c r="U820" s="67"/>
      <c r="V820" s="67"/>
      <c r="W820" s="67"/>
      <c r="X820" s="67"/>
      <c r="Y820" s="67"/>
    </row>
    <row r="821" spans="1:25" ht="18.75">
      <c r="A821" s="138"/>
      <c r="B821" s="138"/>
      <c r="C821" s="138" t="s">
        <v>41</v>
      </c>
      <c r="D821" s="141"/>
      <c r="E821" s="138"/>
      <c r="F821" s="138"/>
      <c r="G821" s="138"/>
      <c r="H821" s="138"/>
      <c r="I821" s="138"/>
      <c r="J821" s="138"/>
      <c r="K821" s="138"/>
      <c r="L821" s="138"/>
      <c r="M821" s="138"/>
      <c r="N821" s="138"/>
      <c r="O821" s="138"/>
      <c r="P821" s="138"/>
      <c r="Q821" s="138"/>
      <c r="R821" s="138"/>
      <c r="T821" s="67"/>
      <c r="U821" s="67"/>
      <c r="V821" s="67"/>
      <c r="W821" s="67"/>
      <c r="X821" s="67"/>
      <c r="Y821" s="67"/>
    </row>
    <row r="822" spans="1:25" ht="18.75">
      <c r="A822" s="138">
        <v>1</v>
      </c>
      <c r="B822" s="138">
        <v>1</v>
      </c>
      <c r="C822" s="143" t="s">
        <v>200</v>
      </c>
      <c r="D822" s="144" t="s">
        <v>507</v>
      </c>
      <c r="E822" s="145">
        <f>'TISWADI '!D271</f>
        <v>0</v>
      </c>
      <c r="F822" s="145">
        <f>'TISWADI '!E271</f>
        <v>0</v>
      </c>
      <c r="G822" s="145">
        <f>'TISWADI '!F271</f>
        <v>0</v>
      </c>
      <c r="H822" s="145">
        <f>'TISWADI '!G271</f>
        <v>0</v>
      </c>
      <c r="I822" s="145">
        <f>'TISWADI '!H271</f>
        <v>0</v>
      </c>
      <c r="J822" s="145">
        <f>'TISWADI '!I271</f>
        <v>0</v>
      </c>
      <c r="K822" s="145">
        <f>'TISWADI '!J271</f>
        <v>0</v>
      </c>
      <c r="L822" s="145">
        <f>'TISWADI '!K271</f>
        <v>14300.29441802756</v>
      </c>
      <c r="M822" s="145">
        <f>'TISWADI '!L271</f>
        <v>21298.44965662391</v>
      </c>
      <c r="N822" s="145">
        <f>'TISWADI '!M271</f>
        <v>32103.663778825776</v>
      </c>
      <c r="O822" s="145">
        <f>'TISWADI '!N271</f>
        <v>44</v>
      </c>
      <c r="P822" s="145">
        <f>'TISWADI '!O271</f>
        <v>277.14</v>
      </c>
      <c r="Q822" s="145">
        <f>'TISWADI '!P271</f>
        <v>550</v>
      </c>
      <c r="R822" s="145">
        <f>'TISWADI '!S271</f>
        <v>68572.54785347724</v>
      </c>
      <c r="T822" s="71">
        <v>0</v>
      </c>
      <c r="U822" s="71">
        <v>0</v>
      </c>
      <c r="V822" s="71">
        <v>0</v>
      </c>
      <c r="W822" s="71">
        <v>0</v>
      </c>
      <c r="X822" s="71">
        <v>108622.283809333</v>
      </c>
      <c r="Y822" s="71">
        <v>108622.283809333</v>
      </c>
    </row>
    <row r="823" spans="1:25" ht="18.75">
      <c r="A823" s="138"/>
      <c r="B823" s="138"/>
      <c r="C823" s="138"/>
      <c r="D823" s="141"/>
      <c r="E823" s="138"/>
      <c r="F823" s="138"/>
      <c r="G823" s="138"/>
      <c r="H823" s="138"/>
      <c r="I823" s="138"/>
      <c r="J823" s="138"/>
      <c r="K823" s="138"/>
      <c r="L823" s="138"/>
      <c r="M823" s="138"/>
      <c r="N823" s="138"/>
      <c r="O823" s="138"/>
      <c r="P823" s="138"/>
      <c r="Q823" s="138"/>
      <c r="R823" s="138"/>
      <c r="T823" s="67"/>
      <c r="U823" s="67"/>
      <c r="V823" s="67"/>
      <c r="W823" s="67"/>
      <c r="X823" s="67"/>
      <c r="Y823" s="67"/>
    </row>
    <row r="824" spans="1:25" ht="18.75">
      <c r="A824" s="138"/>
      <c r="B824" s="138"/>
      <c r="C824" s="143" t="s">
        <v>497</v>
      </c>
      <c r="D824" s="141"/>
      <c r="E824" s="138"/>
      <c r="F824" s="138"/>
      <c r="G824" s="138"/>
      <c r="H824" s="138"/>
      <c r="I824" s="138"/>
      <c r="J824" s="138"/>
      <c r="K824" s="138"/>
      <c r="L824" s="138"/>
      <c r="M824" s="138"/>
      <c r="N824" s="138"/>
      <c r="O824" s="138"/>
      <c r="P824" s="138"/>
      <c r="Q824" s="138"/>
      <c r="R824" s="138"/>
      <c r="T824" s="67"/>
      <c r="U824" s="67"/>
      <c r="V824" s="67"/>
      <c r="W824" s="67"/>
      <c r="X824" s="67"/>
      <c r="Y824" s="67"/>
    </row>
    <row r="825" spans="1:25" ht="18.75">
      <c r="A825" s="138"/>
      <c r="B825" s="138"/>
      <c r="C825" s="138" t="s">
        <v>41</v>
      </c>
      <c r="D825" s="141"/>
      <c r="E825" s="138"/>
      <c r="F825" s="138"/>
      <c r="G825" s="138"/>
      <c r="H825" s="138"/>
      <c r="I825" s="138"/>
      <c r="J825" s="138"/>
      <c r="K825" s="138"/>
      <c r="L825" s="138"/>
      <c r="M825" s="138"/>
      <c r="N825" s="138"/>
      <c r="O825" s="138"/>
      <c r="P825" s="138"/>
      <c r="Q825" s="138"/>
      <c r="R825" s="138"/>
      <c r="T825" s="67"/>
      <c r="U825" s="67"/>
      <c r="V825" s="67"/>
      <c r="W825" s="67"/>
      <c r="X825" s="67"/>
      <c r="Y825" s="67"/>
    </row>
    <row r="826" spans="1:25" ht="18.75">
      <c r="A826" s="138">
        <v>1</v>
      </c>
      <c r="B826" s="138">
        <v>1</v>
      </c>
      <c r="C826" s="138" t="s">
        <v>192</v>
      </c>
      <c r="D826" s="137" t="s">
        <v>507</v>
      </c>
      <c r="E826" s="136">
        <f>'TISWADI '!D255</f>
        <v>0</v>
      </c>
      <c r="F826" s="136">
        <f>'TISWADI '!E255</f>
        <v>0</v>
      </c>
      <c r="G826" s="136">
        <f>'TISWADI '!F255</f>
        <v>0</v>
      </c>
      <c r="H826" s="136">
        <f>'TISWADI '!G255</f>
        <v>0</v>
      </c>
      <c r="I826" s="136">
        <f>'TISWADI '!H255</f>
        <v>0</v>
      </c>
      <c r="J826" s="136">
        <f>'TISWADI '!I255</f>
        <v>0</v>
      </c>
      <c r="K826" s="136">
        <f>'TISWADI '!J255</f>
        <v>522.8832764606358</v>
      </c>
      <c r="L826" s="136">
        <f>'TISWADI '!K255</f>
        <v>399.62975811919983</v>
      </c>
      <c r="M826" s="136">
        <f>'TISWADI '!L255</f>
        <v>610.3436305820507</v>
      </c>
      <c r="N826" s="136">
        <f>'TISWADI '!M255</f>
        <v>900.9834546687415</v>
      </c>
      <c r="O826" s="136">
        <f>'TISWADI '!N255</f>
        <v>44.84</v>
      </c>
      <c r="P826" s="136">
        <f>'TISWADI '!O255</f>
        <v>277.14</v>
      </c>
      <c r="Q826" s="136">
        <f>'TISWADI '!P255</f>
        <v>550</v>
      </c>
      <c r="R826" s="136">
        <f>'TISWADI '!S255</f>
        <v>3305.820119830628</v>
      </c>
      <c r="T826" s="66">
        <v>0</v>
      </c>
      <c r="U826" s="66">
        <v>0</v>
      </c>
      <c r="V826" s="66">
        <v>0</v>
      </c>
      <c r="W826" s="66">
        <v>121.274288</v>
      </c>
      <c r="X826" s="66">
        <v>3035.51072</v>
      </c>
      <c r="Y826" s="66">
        <v>3156.785008</v>
      </c>
    </row>
    <row r="827" spans="1:25" ht="18.75">
      <c r="A827" s="138"/>
      <c r="B827" s="138"/>
      <c r="C827" s="138"/>
      <c r="D827" s="141"/>
      <c r="E827" s="138"/>
      <c r="F827" s="138"/>
      <c r="G827" s="138"/>
      <c r="H827" s="138"/>
      <c r="I827" s="138"/>
      <c r="J827" s="138"/>
      <c r="K827" s="138"/>
      <c r="L827" s="138"/>
      <c r="M827" s="138"/>
      <c r="N827" s="138"/>
      <c r="O827" s="138"/>
      <c r="P827" s="138"/>
      <c r="Q827" s="138"/>
      <c r="R827" s="138"/>
      <c r="T827" s="67"/>
      <c r="U827" s="67"/>
      <c r="V827" s="67"/>
      <c r="W827" s="67"/>
      <c r="X827" s="67"/>
      <c r="Y827" s="67"/>
    </row>
    <row r="828" spans="1:25" ht="18.75">
      <c r="A828" s="138"/>
      <c r="B828" s="138"/>
      <c r="C828" s="138" t="s">
        <v>42</v>
      </c>
      <c r="D828" s="141"/>
      <c r="E828" s="138"/>
      <c r="F828" s="138"/>
      <c r="G828" s="138"/>
      <c r="H828" s="138"/>
      <c r="I828" s="138"/>
      <c r="J828" s="138"/>
      <c r="K828" s="138"/>
      <c r="L828" s="138"/>
      <c r="M828" s="138"/>
      <c r="N828" s="138"/>
      <c r="O828" s="138"/>
      <c r="P828" s="138"/>
      <c r="Q828" s="138"/>
      <c r="R828" s="138"/>
      <c r="T828" s="67"/>
      <c r="U828" s="67"/>
      <c r="V828" s="67"/>
      <c r="W828" s="67"/>
      <c r="X828" s="67"/>
      <c r="Y828" s="67"/>
    </row>
    <row r="829" spans="1:25" ht="18.75">
      <c r="A829" s="138">
        <v>1</v>
      </c>
      <c r="B829" s="138">
        <v>2</v>
      </c>
      <c r="C829" s="138" t="s">
        <v>353</v>
      </c>
      <c r="D829" s="137" t="s">
        <v>507</v>
      </c>
      <c r="E829" s="136">
        <f>BARDEZ!D260</f>
        <v>0</v>
      </c>
      <c r="F829" s="136">
        <f>BARDEZ!E260</f>
        <v>0</v>
      </c>
      <c r="G829" s="136">
        <f>BARDEZ!F260</f>
        <v>0</v>
      </c>
      <c r="H829" s="136">
        <f>BARDEZ!G260</f>
        <v>0</v>
      </c>
      <c r="I829" s="136">
        <f>BARDEZ!H260</f>
        <v>0</v>
      </c>
      <c r="J829" s="136">
        <f>BARDEZ!I260</f>
        <v>0</v>
      </c>
      <c r="K829" s="136">
        <f>BARDEZ!J260</f>
        <v>0</v>
      </c>
      <c r="L829" s="136">
        <f>BARDEZ!K260</f>
        <v>399.62975811919983</v>
      </c>
      <c r="M829" s="136">
        <f>BARDEZ!L260</f>
        <v>610.3436305820507</v>
      </c>
      <c r="N829" s="136">
        <f>BARDEZ!M260</f>
        <v>900.9834546687415</v>
      </c>
      <c r="O829" s="136">
        <f>BARDEZ!N260</f>
        <v>39.2375</v>
      </c>
      <c r="P829" s="136">
        <f>BARDEZ!O260</f>
        <v>240</v>
      </c>
      <c r="Q829" s="136">
        <f>BARDEZ!P260</f>
        <v>495</v>
      </c>
      <c r="R829" s="136">
        <f>BARDEZ!R260</f>
        <v>2685.1943433699917</v>
      </c>
      <c r="T829" s="66">
        <v>0</v>
      </c>
      <c r="U829" s="66">
        <v>0</v>
      </c>
      <c r="V829" s="66">
        <v>0</v>
      </c>
      <c r="W829" s="66">
        <v>0</v>
      </c>
      <c r="X829" s="66">
        <v>3035.51072</v>
      </c>
      <c r="Y829" s="66">
        <v>3035.51072</v>
      </c>
    </row>
    <row r="830" spans="1:25" ht="18.75">
      <c r="A830" s="138"/>
      <c r="B830" s="138"/>
      <c r="C830" s="138"/>
      <c r="D830" s="141"/>
      <c r="E830" s="138"/>
      <c r="F830" s="138"/>
      <c r="G830" s="138"/>
      <c r="H830" s="138"/>
      <c r="I830" s="138"/>
      <c r="J830" s="138"/>
      <c r="K830" s="138"/>
      <c r="L830" s="138"/>
      <c r="M830" s="138"/>
      <c r="N830" s="138"/>
      <c r="O830" s="138"/>
      <c r="P830" s="138"/>
      <c r="Q830" s="138"/>
      <c r="R830" s="138"/>
      <c r="T830" s="67"/>
      <c r="U830" s="67"/>
      <c r="V830" s="67"/>
      <c r="W830" s="67"/>
      <c r="X830" s="67"/>
      <c r="Y830" s="67"/>
    </row>
    <row r="831" spans="1:25" ht="18.75">
      <c r="A831" s="138"/>
      <c r="B831" s="138"/>
      <c r="C831" s="138"/>
      <c r="D831" s="141"/>
      <c r="E831" s="138"/>
      <c r="F831" s="138"/>
      <c r="G831" s="138"/>
      <c r="H831" s="138"/>
      <c r="I831" s="138"/>
      <c r="J831" s="138"/>
      <c r="K831" s="138"/>
      <c r="L831" s="138"/>
      <c r="M831" s="138"/>
      <c r="N831" s="138"/>
      <c r="O831" s="138"/>
      <c r="P831" s="138"/>
      <c r="Q831" s="138"/>
      <c r="R831" s="138"/>
      <c r="T831" s="67"/>
      <c r="U831" s="67"/>
      <c r="V831" s="67"/>
      <c r="W831" s="67"/>
      <c r="X831" s="67"/>
      <c r="Y831" s="67"/>
    </row>
    <row r="832" spans="1:25" ht="18.75">
      <c r="A832" s="138">
        <v>3</v>
      </c>
      <c r="B832" s="138"/>
      <c r="C832" s="143" t="s">
        <v>17</v>
      </c>
      <c r="D832" s="144"/>
      <c r="E832" s="145">
        <f aca="true" t="shared" si="48" ref="E832:R832">E826+E829</f>
        <v>0</v>
      </c>
      <c r="F832" s="145">
        <f t="shared" si="48"/>
        <v>0</v>
      </c>
      <c r="G832" s="145">
        <f t="shared" si="48"/>
        <v>0</v>
      </c>
      <c r="H832" s="145">
        <f t="shared" si="48"/>
        <v>0</v>
      </c>
      <c r="I832" s="145">
        <f t="shared" si="48"/>
        <v>0</v>
      </c>
      <c r="J832" s="145">
        <f t="shared" si="48"/>
        <v>0</v>
      </c>
      <c r="K832" s="145">
        <f t="shared" si="48"/>
        <v>522.8832764606358</v>
      </c>
      <c r="L832" s="145">
        <f t="shared" si="48"/>
        <v>799.2595162383997</v>
      </c>
      <c r="M832" s="145">
        <f t="shared" si="48"/>
        <v>1220.6872611641013</v>
      </c>
      <c r="N832" s="145">
        <f t="shared" si="48"/>
        <v>1801.966909337483</v>
      </c>
      <c r="O832" s="145">
        <f t="shared" si="48"/>
        <v>84.0775</v>
      </c>
      <c r="P832" s="145">
        <f t="shared" si="48"/>
        <v>517.14</v>
      </c>
      <c r="Q832" s="145">
        <f t="shared" si="48"/>
        <v>1045</v>
      </c>
      <c r="R832" s="145">
        <f t="shared" si="48"/>
        <v>5991.0144632006195</v>
      </c>
      <c r="T832" s="71">
        <v>0</v>
      </c>
      <c r="U832" s="71">
        <v>0</v>
      </c>
      <c r="V832" s="71">
        <v>0</v>
      </c>
      <c r="W832" s="71">
        <v>241.548576</v>
      </c>
      <c r="X832" s="71">
        <v>7589.7768</v>
      </c>
      <c r="Y832" s="71">
        <v>7832.325376</v>
      </c>
    </row>
    <row r="833" spans="1:25" ht="18.75">
      <c r="A833" s="138"/>
      <c r="B833" s="138"/>
      <c r="C833" s="138"/>
      <c r="D833" s="141"/>
      <c r="E833" s="138"/>
      <c r="F833" s="138"/>
      <c r="G833" s="138"/>
      <c r="H833" s="138"/>
      <c r="I833" s="138"/>
      <c r="J833" s="138"/>
      <c r="K833" s="138"/>
      <c r="L833" s="138"/>
      <c r="M833" s="138"/>
      <c r="N833" s="138"/>
      <c r="O833" s="138"/>
      <c r="P833" s="138"/>
      <c r="Q833" s="138"/>
      <c r="R833" s="138"/>
      <c r="T833" s="67"/>
      <c r="U833" s="67"/>
      <c r="V833" s="67"/>
      <c r="W833" s="67"/>
      <c r="X833" s="67"/>
      <c r="Y833" s="67"/>
    </row>
    <row r="834" spans="1:25" ht="18.75">
      <c r="A834" s="138"/>
      <c r="B834" s="138"/>
      <c r="C834" s="143" t="s">
        <v>498</v>
      </c>
      <c r="D834" s="141"/>
      <c r="E834" s="138"/>
      <c r="F834" s="138"/>
      <c r="G834" s="138"/>
      <c r="H834" s="138"/>
      <c r="I834" s="138"/>
      <c r="J834" s="138"/>
      <c r="K834" s="138"/>
      <c r="L834" s="138"/>
      <c r="M834" s="138"/>
      <c r="N834" s="138"/>
      <c r="O834" s="138"/>
      <c r="P834" s="138"/>
      <c r="Q834" s="138"/>
      <c r="R834" s="138"/>
      <c r="T834" s="67"/>
      <c r="U834" s="67"/>
      <c r="V834" s="67"/>
      <c r="W834" s="67"/>
      <c r="X834" s="67"/>
      <c r="Y834" s="67"/>
    </row>
    <row r="835" spans="1:25" ht="18.75">
      <c r="A835" s="138"/>
      <c r="B835" s="138"/>
      <c r="C835" s="138" t="s">
        <v>41</v>
      </c>
      <c r="D835" s="141"/>
      <c r="E835" s="138"/>
      <c r="F835" s="138"/>
      <c r="G835" s="138"/>
      <c r="H835" s="138"/>
      <c r="I835" s="138"/>
      <c r="J835" s="138"/>
      <c r="K835" s="138"/>
      <c r="L835" s="138"/>
      <c r="M835" s="138"/>
      <c r="N835" s="138"/>
      <c r="O835" s="138"/>
      <c r="P835" s="138"/>
      <c r="Q835" s="138"/>
      <c r="R835" s="138"/>
      <c r="T835" s="67"/>
      <c r="U835" s="67"/>
      <c r="V835" s="67"/>
      <c r="W835" s="67"/>
      <c r="X835" s="67"/>
      <c r="Y835" s="67"/>
    </row>
    <row r="836" spans="1:25" ht="18.75">
      <c r="A836" s="138">
        <v>1</v>
      </c>
      <c r="B836" s="138">
        <v>1</v>
      </c>
      <c r="C836" s="138" t="s">
        <v>194</v>
      </c>
      <c r="D836" s="137" t="s">
        <v>507</v>
      </c>
      <c r="E836" s="136">
        <f>'TISWADI '!D259</f>
        <v>0</v>
      </c>
      <c r="F836" s="136">
        <f>'TISWADI '!E259</f>
        <v>0</v>
      </c>
      <c r="G836" s="136">
        <f>'TISWADI '!F259</f>
        <v>0</v>
      </c>
      <c r="H836" s="136">
        <f>'TISWADI '!G259</f>
        <v>0</v>
      </c>
      <c r="I836" s="136">
        <f>'TISWADI '!H259</f>
        <v>0</v>
      </c>
      <c r="J836" s="136">
        <f>'TISWADI '!I259</f>
        <v>0</v>
      </c>
      <c r="K836" s="136">
        <f>'TISWADI '!J259</f>
        <v>522.8832764606358</v>
      </c>
      <c r="L836" s="136">
        <f>'TISWADI '!K259</f>
        <v>199.81487905959992</v>
      </c>
      <c r="M836" s="136">
        <f>'TISWADI '!L259</f>
        <v>305.1718152910253</v>
      </c>
      <c r="N836" s="136">
        <f>'TISWADI '!M259</f>
        <v>450.49172733437075</v>
      </c>
      <c r="O836" s="136">
        <f>'TISWADI '!N259</f>
        <v>44.84</v>
      </c>
      <c r="P836" s="136">
        <f>'TISWADI '!O259</f>
        <v>277.14</v>
      </c>
      <c r="Q836" s="136">
        <f>'TISWADI '!P259</f>
        <v>550</v>
      </c>
      <c r="R836" s="136">
        <f>'TISWADI '!S259</f>
        <v>2350.3416981456317</v>
      </c>
      <c r="T836" s="66">
        <v>0</v>
      </c>
      <c r="U836" s="66">
        <v>0</v>
      </c>
      <c r="V836" s="66">
        <v>0</v>
      </c>
      <c r="W836" s="66">
        <v>121.274288</v>
      </c>
      <c r="X836" s="66">
        <v>1517.75536</v>
      </c>
      <c r="Y836" s="66">
        <v>1639.029648</v>
      </c>
    </row>
    <row r="837" spans="1:25" ht="18.75">
      <c r="A837" s="138"/>
      <c r="B837" s="138"/>
      <c r="C837" s="138"/>
      <c r="D837" s="141"/>
      <c r="E837" s="138"/>
      <c r="F837" s="138"/>
      <c r="G837" s="138"/>
      <c r="H837" s="138"/>
      <c r="I837" s="138"/>
      <c r="J837" s="138"/>
      <c r="K837" s="138"/>
      <c r="L837" s="138"/>
      <c r="M837" s="138"/>
      <c r="N837" s="138"/>
      <c r="O837" s="138"/>
      <c r="P837" s="138"/>
      <c r="Q837" s="138"/>
      <c r="R837" s="138"/>
      <c r="T837" s="67"/>
      <c r="U837" s="67"/>
      <c r="V837" s="67"/>
      <c r="W837" s="67"/>
      <c r="X837" s="67"/>
      <c r="Y837" s="67"/>
    </row>
    <row r="838" spans="1:25" ht="18.75">
      <c r="A838" s="138"/>
      <c r="B838" s="138"/>
      <c r="C838" s="138" t="s">
        <v>42</v>
      </c>
      <c r="D838" s="141"/>
      <c r="E838" s="138"/>
      <c r="F838" s="138"/>
      <c r="G838" s="138"/>
      <c r="H838" s="138"/>
      <c r="I838" s="138"/>
      <c r="J838" s="138"/>
      <c r="K838" s="138"/>
      <c r="L838" s="138"/>
      <c r="M838" s="138"/>
      <c r="N838" s="138"/>
      <c r="O838" s="138"/>
      <c r="P838" s="138"/>
      <c r="Q838" s="138"/>
      <c r="R838" s="138"/>
      <c r="T838" s="67"/>
      <c r="U838" s="67"/>
      <c r="V838" s="67"/>
      <c r="W838" s="67"/>
      <c r="X838" s="67"/>
      <c r="Y838" s="67"/>
    </row>
    <row r="839" spans="1:25" ht="18.75">
      <c r="A839" s="138"/>
      <c r="B839" s="138">
        <v>2</v>
      </c>
      <c r="C839" s="138" t="s">
        <v>282</v>
      </c>
      <c r="D839" s="137" t="s">
        <v>507</v>
      </c>
      <c r="E839" s="136">
        <f>BARDEZ!D252</f>
        <v>0</v>
      </c>
      <c r="F839" s="136">
        <f>BARDEZ!E252</f>
        <v>0</v>
      </c>
      <c r="G839" s="136">
        <f>BARDEZ!F252</f>
        <v>0</v>
      </c>
      <c r="H839" s="136">
        <f>BARDEZ!G252</f>
        <v>0</v>
      </c>
      <c r="I839" s="136">
        <f>BARDEZ!H252</f>
        <v>0</v>
      </c>
      <c r="J839" s="136">
        <f>BARDEZ!I252</f>
        <v>0</v>
      </c>
      <c r="K839" s="136">
        <f>BARDEZ!J252</f>
        <v>0</v>
      </c>
      <c r="L839" s="136">
        <f>BARDEZ!K252</f>
        <v>399.62975811919983</v>
      </c>
      <c r="M839" s="136">
        <f>BARDEZ!L252</f>
        <v>610.3436305820507</v>
      </c>
      <c r="N839" s="136">
        <f>BARDEZ!M252</f>
        <v>900.9834546687415</v>
      </c>
      <c r="O839" s="136">
        <f>BARDEZ!N252</f>
        <v>39.2375</v>
      </c>
      <c r="P839" s="136">
        <f>BARDEZ!O252</f>
        <v>240</v>
      </c>
      <c r="Q839" s="136">
        <f>BARDEZ!P252</f>
        <v>495</v>
      </c>
      <c r="R839" s="136">
        <f>BARDEZ!R252</f>
        <v>2685.1943433699917</v>
      </c>
      <c r="T839" s="66">
        <v>0</v>
      </c>
      <c r="U839" s="66">
        <v>0</v>
      </c>
      <c r="V839" s="66">
        <v>0</v>
      </c>
      <c r="W839" s="66">
        <v>0</v>
      </c>
      <c r="X839" s="66">
        <v>3035.51072</v>
      </c>
      <c r="Y839" s="66">
        <v>3035.51072</v>
      </c>
    </row>
    <row r="840" spans="1:25" ht="18.75">
      <c r="A840" s="138"/>
      <c r="B840" s="138">
        <v>3</v>
      </c>
      <c r="C840" s="138" t="s">
        <v>273</v>
      </c>
      <c r="D840" s="137" t="s">
        <v>507</v>
      </c>
      <c r="E840" s="136">
        <f>BARDEZ!D253</f>
        <v>0</v>
      </c>
      <c r="F840" s="136">
        <f>BARDEZ!E253</f>
        <v>0</v>
      </c>
      <c r="G840" s="136">
        <f>BARDEZ!F253</f>
        <v>0</v>
      </c>
      <c r="H840" s="136">
        <f>BARDEZ!G253</f>
        <v>0</v>
      </c>
      <c r="I840" s="136">
        <f>BARDEZ!H253</f>
        <v>0</v>
      </c>
      <c r="J840" s="136">
        <f>BARDEZ!I253</f>
        <v>0</v>
      </c>
      <c r="K840" s="136">
        <f>BARDEZ!J253</f>
        <v>0</v>
      </c>
      <c r="L840" s="136">
        <f>BARDEZ!K253</f>
        <v>399.62975811919983</v>
      </c>
      <c r="M840" s="136">
        <f>BARDEZ!L253</f>
        <v>610.3436305820507</v>
      </c>
      <c r="N840" s="136">
        <f>BARDEZ!M253</f>
        <v>900.9834546687415</v>
      </c>
      <c r="O840" s="136">
        <f>BARDEZ!N253</f>
        <v>39.2375</v>
      </c>
      <c r="P840" s="136">
        <f>BARDEZ!O253</f>
        <v>240</v>
      </c>
      <c r="Q840" s="136">
        <f>BARDEZ!P253</f>
        <v>495</v>
      </c>
      <c r="R840" s="136">
        <f>BARDEZ!R253</f>
        <v>2685.1943433699917</v>
      </c>
      <c r="T840" s="66">
        <v>0</v>
      </c>
      <c r="U840" s="66">
        <v>0</v>
      </c>
      <c r="V840" s="66">
        <v>0</v>
      </c>
      <c r="W840" s="66">
        <v>0</v>
      </c>
      <c r="X840" s="66">
        <v>3035.51072</v>
      </c>
      <c r="Y840" s="66">
        <v>3035.51072</v>
      </c>
    </row>
    <row r="841" spans="1:25" ht="18.75">
      <c r="A841" s="138">
        <v>2</v>
      </c>
      <c r="B841" s="138"/>
      <c r="C841" s="138" t="s">
        <v>78</v>
      </c>
      <c r="D841" s="137"/>
      <c r="E841" s="136">
        <f>BARDEZ!D254</f>
        <v>0</v>
      </c>
      <c r="F841" s="136">
        <f>BARDEZ!E254</f>
        <v>0</v>
      </c>
      <c r="G841" s="136">
        <f>BARDEZ!F254</f>
        <v>0</v>
      </c>
      <c r="H841" s="136">
        <f>BARDEZ!G254</f>
        <v>0</v>
      </c>
      <c r="I841" s="136">
        <f>BARDEZ!H254</f>
        <v>0</v>
      </c>
      <c r="J841" s="136">
        <f>BARDEZ!I254</f>
        <v>0</v>
      </c>
      <c r="K841" s="136">
        <f>BARDEZ!J254</f>
        <v>0</v>
      </c>
      <c r="L841" s="136">
        <f>BARDEZ!K254</f>
        <v>799.2595162383997</v>
      </c>
      <c r="M841" s="136">
        <f>BARDEZ!L254</f>
        <v>1220.6872611641013</v>
      </c>
      <c r="N841" s="136">
        <f>BARDEZ!M254</f>
        <v>1801.966909337483</v>
      </c>
      <c r="O841" s="136">
        <f>BARDEZ!N254</f>
        <v>78.475</v>
      </c>
      <c r="P841" s="136">
        <f>BARDEZ!O254</f>
        <v>480</v>
      </c>
      <c r="Q841" s="136">
        <f>BARDEZ!P254</f>
        <v>990</v>
      </c>
      <c r="R841" s="136">
        <f>BARDEZ!R254</f>
        <v>5370.388686739983</v>
      </c>
      <c r="T841" s="66">
        <v>0</v>
      </c>
      <c r="U841" s="66">
        <v>0</v>
      </c>
      <c r="V841" s="66">
        <v>0</v>
      </c>
      <c r="W841" s="66">
        <v>0</v>
      </c>
      <c r="X841" s="66">
        <v>6072.02144</v>
      </c>
      <c r="Y841" s="66">
        <v>6072.02144</v>
      </c>
    </row>
    <row r="842" spans="1:25" ht="18.75">
      <c r="A842" s="138"/>
      <c r="B842" s="138"/>
      <c r="C842" s="138"/>
      <c r="D842" s="141"/>
      <c r="E842" s="138"/>
      <c r="F842" s="138"/>
      <c r="G842" s="138"/>
      <c r="H842" s="138"/>
      <c r="I842" s="138"/>
      <c r="J842" s="138"/>
      <c r="K842" s="138"/>
      <c r="L842" s="138"/>
      <c r="M842" s="138"/>
      <c r="N842" s="138"/>
      <c r="O842" s="138"/>
      <c r="P842" s="138"/>
      <c r="Q842" s="138"/>
      <c r="R842" s="138"/>
      <c r="T842" s="67"/>
      <c r="U842" s="67"/>
      <c r="V842" s="67"/>
      <c r="W842" s="67"/>
      <c r="X842" s="67"/>
      <c r="Y842" s="67"/>
    </row>
    <row r="843" spans="1:25" ht="18.75">
      <c r="A843" s="138"/>
      <c r="B843" s="138"/>
      <c r="C843" s="143"/>
      <c r="D843" s="147"/>
      <c r="E843" s="143"/>
      <c r="F843" s="143"/>
      <c r="G843" s="143"/>
      <c r="H843" s="143"/>
      <c r="I843" s="143"/>
      <c r="J843" s="143"/>
      <c r="K843" s="143"/>
      <c r="L843" s="143"/>
      <c r="M843" s="143"/>
      <c r="N843" s="143"/>
      <c r="O843" s="143"/>
      <c r="P843" s="143"/>
      <c r="Q843" s="143"/>
      <c r="R843" s="143"/>
      <c r="T843" s="70"/>
      <c r="U843" s="70"/>
      <c r="V843" s="70"/>
      <c r="W843" s="70"/>
      <c r="X843" s="70"/>
      <c r="Y843" s="70"/>
    </row>
    <row r="844" spans="1:25" ht="18.75">
      <c r="A844" s="138">
        <v>4</v>
      </c>
      <c r="B844" s="138"/>
      <c r="C844" s="143" t="s">
        <v>17</v>
      </c>
      <c r="D844" s="144"/>
      <c r="E844" s="145">
        <f aca="true" t="shared" si="49" ref="E844:R844">E836+E841</f>
        <v>0</v>
      </c>
      <c r="F844" s="145">
        <f t="shared" si="49"/>
        <v>0</v>
      </c>
      <c r="G844" s="145">
        <f t="shared" si="49"/>
        <v>0</v>
      </c>
      <c r="H844" s="145">
        <f t="shared" si="49"/>
        <v>0</v>
      </c>
      <c r="I844" s="145">
        <f t="shared" si="49"/>
        <v>0</v>
      </c>
      <c r="J844" s="145">
        <f t="shared" si="49"/>
        <v>0</v>
      </c>
      <c r="K844" s="145">
        <f t="shared" si="49"/>
        <v>522.8832764606358</v>
      </c>
      <c r="L844" s="145">
        <f t="shared" si="49"/>
        <v>999.0743952979996</v>
      </c>
      <c r="M844" s="145">
        <f t="shared" si="49"/>
        <v>1525.8590764551266</v>
      </c>
      <c r="N844" s="145">
        <f t="shared" si="49"/>
        <v>2252.4586366718536</v>
      </c>
      <c r="O844" s="145">
        <f t="shared" si="49"/>
        <v>123.315</v>
      </c>
      <c r="P844" s="145">
        <f t="shared" si="49"/>
        <v>757.14</v>
      </c>
      <c r="Q844" s="145">
        <f t="shared" si="49"/>
        <v>1540</v>
      </c>
      <c r="R844" s="145">
        <f t="shared" si="49"/>
        <v>7720.730384885615</v>
      </c>
      <c r="T844" s="71">
        <v>0</v>
      </c>
      <c r="U844" s="71">
        <v>0</v>
      </c>
      <c r="V844" s="71">
        <v>0</v>
      </c>
      <c r="W844" s="71">
        <v>241.548576</v>
      </c>
      <c r="X844" s="71">
        <v>10626.28752</v>
      </c>
      <c r="Y844" s="71">
        <v>10867.836096</v>
      </c>
    </row>
    <row r="845" spans="1:25" ht="18.75">
      <c r="A845" s="138"/>
      <c r="B845" s="138"/>
      <c r="C845" s="138"/>
      <c r="D845" s="141"/>
      <c r="E845" s="138"/>
      <c r="F845" s="138"/>
      <c r="G845" s="138"/>
      <c r="H845" s="138"/>
      <c r="I845" s="138"/>
      <c r="J845" s="138"/>
      <c r="K845" s="138"/>
      <c r="L845" s="138"/>
      <c r="M845" s="138"/>
      <c r="N845" s="138"/>
      <c r="O845" s="138"/>
      <c r="P845" s="138"/>
      <c r="Q845" s="138"/>
      <c r="R845" s="138"/>
      <c r="T845" s="67"/>
      <c r="U845" s="67"/>
      <c r="V845" s="67"/>
      <c r="W845" s="67"/>
      <c r="X845" s="67"/>
      <c r="Y845" s="67"/>
    </row>
    <row r="846" spans="1:25" ht="18.75">
      <c r="A846" s="138"/>
      <c r="B846" s="138"/>
      <c r="C846" s="143" t="s">
        <v>499</v>
      </c>
      <c r="D846" s="141"/>
      <c r="E846" s="138"/>
      <c r="F846" s="138"/>
      <c r="G846" s="138"/>
      <c r="H846" s="138"/>
      <c r="I846" s="138"/>
      <c r="J846" s="138"/>
      <c r="K846" s="138"/>
      <c r="L846" s="138"/>
      <c r="M846" s="138"/>
      <c r="N846" s="138"/>
      <c r="O846" s="138"/>
      <c r="P846" s="138"/>
      <c r="Q846" s="138"/>
      <c r="R846" s="138"/>
      <c r="T846" s="67"/>
      <c r="U846" s="67"/>
      <c r="V846" s="67"/>
      <c r="W846" s="67"/>
      <c r="X846" s="67"/>
      <c r="Y846" s="67"/>
    </row>
    <row r="847" spans="1:25" ht="18.75">
      <c r="A847" s="138"/>
      <c r="B847" s="138"/>
      <c r="C847" s="138" t="s">
        <v>41</v>
      </c>
      <c r="D847" s="141"/>
      <c r="E847" s="138"/>
      <c r="F847" s="138"/>
      <c r="G847" s="138"/>
      <c r="H847" s="138"/>
      <c r="I847" s="138"/>
      <c r="J847" s="138"/>
      <c r="K847" s="138"/>
      <c r="L847" s="138"/>
      <c r="M847" s="138"/>
      <c r="N847" s="138"/>
      <c r="O847" s="138"/>
      <c r="P847" s="138"/>
      <c r="Q847" s="138"/>
      <c r="R847" s="138"/>
      <c r="T847" s="67"/>
      <c r="U847" s="67"/>
      <c r="V847" s="67"/>
      <c r="W847" s="67"/>
      <c r="X847" s="67"/>
      <c r="Y847" s="67"/>
    </row>
    <row r="848" spans="1:25" ht="18.75">
      <c r="A848" s="138">
        <v>1</v>
      </c>
      <c r="B848" s="138">
        <v>1</v>
      </c>
      <c r="C848" s="143" t="s">
        <v>191</v>
      </c>
      <c r="D848" s="144" t="s">
        <v>507</v>
      </c>
      <c r="E848" s="145">
        <f>'TISWADI '!D263</f>
        <v>0</v>
      </c>
      <c r="F848" s="145">
        <f>'TISWADI '!E263</f>
        <v>0</v>
      </c>
      <c r="G848" s="145">
        <f>'TISWADI '!F263</f>
        <v>0</v>
      </c>
      <c r="H848" s="145">
        <f>'TISWADI '!G263</f>
        <v>0</v>
      </c>
      <c r="I848" s="145">
        <f>'TISWADI '!H263</f>
        <v>0</v>
      </c>
      <c r="J848" s="145">
        <f>'TISWADI '!I263</f>
        <v>0</v>
      </c>
      <c r="K848" s="145">
        <f>'TISWADI '!J263</f>
        <v>0</v>
      </c>
      <c r="L848" s="145">
        <f>'TISWADI '!K263</f>
        <v>658.2578600137505</v>
      </c>
      <c r="M848" s="145">
        <f>'TISWADI '!L263</f>
        <v>1005.3392771119096</v>
      </c>
      <c r="N848" s="145">
        <f>'TISWADI '!M263</f>
        <v>1484.0722662128192</v>
      </c>
      <c r="O848" s="145">
        <f>'TISWADI '!N263</f>
        <v>44.84</v>
      </c>
      <c r="P848" s="145">
        <f>'TISWADI '!O263</f>
        <v>277</v>
      </c>
      <c r="Q848" s="145">
        <f>'TISWADI '!P263</f>
        <v>550</v>
      </c>
      <c r="R848" s="145">
        <f>'TISWADI '!S263</f>
        <v>4019.5094033384794</v>
      </c>
      <c r="T848" s="71">
        <v>0</v>
      </c>
      <c r="U848" s="71">
        <v>0</v>
      </c>
      <c r="V848" s="71">
        <v>0</v>
      </c>
      <c r="W848" s="71">
        <v>121.274288</v>
      </c>
      <c r="X848" s="71">
        <v>3035.51072</v>
      </c>
      <c r="Y848" s="71">
        <v>3156.785008</v>
      </c>
    </row>
    <row r="849" spans="1:25" ht="18.75">
      <c r="A849" s="138"/>
      <c r="B849" s="138"/>
      <c r="C849" s="138"/>
      <c r="D849" s="141"/>
      <c r="E849" s="138"/>
      <c r="F849" s="138"/>
      <c r="G849" s="138"/>
      <c r="H849" s="138"/>
      <c r="I849" s="138"/>
      <c r="J849" s="138"/>
      <c r="K849" s="138"/>
      <c r="L849" s="138"/>
      <c r="M849" s="138"/>
      <c r="N849" s="138"/>
      <c r="O849" s="138"/>
      <c r="P849" s="138"/>
      <c r="Q849" s="138"/>
      <c r="R849" s="138"/>
      <c r="T849" s="67"/>
      <c r="U849" s="67"/>
      <c r="V849" s="67"/>
      <c r="W849" s="67"/>
      <c r="X849" s="67"/>
      <c r="Y849" s="67"/>
    </row>
    <row r="850" spans="1:25" ht="18.75">
      <c r="A850" s="138"/>
      <c r="B850" s="138"/>
      <c r="C850" s="143" t="s">
        <v>500</v>
      </c>
      <c r="D850" s="141"/>
      <c r="E850" s="138"/>
      <c r="F850" s="138"/>
      <c r="G850" s="138"/>
      <c r="H850" s="138"/>
      <c r="I850" s="138"/>
      <c r="J850" s="138"/>
      <c r="K850" s="138"/>
      <c r="L850" s="138"/>
      <c r="M850" s="138"/>
      <c r="N850" s="138"/>
      <c r="O850" s="138"/>
      <c r="P850" s="138"/>
      <c r="Q850" s="138"/>
      <c r="R850" s="138"/>
      <c r="T850" s="67"/>
      <c r="U850" s="67"/>
      <c r="V850" s="67"/>
      <c r="W850" s="67"/>
      <c r="X850" s="67"/>
      <c r="Y850" s="67"/>
    </row>
    <row r="851" spans="1:25" ht="18.75">
      <c r="A851" s="138">
        <v>1</v>
      </c>
      <c r="B851" s="138">
        <v>1</v>
      </c>
      <c r="C851" s="138" t="s">
        <v>71</v>
      </c>
      <c r="D851" s="141" t="s">
        <v>507</v>
      </c>
      <c r="E851" s="138"/>
      <c r="F851" s="138"/>
      <c r="G851" s="138"/>
      <c r="H851" s="138"/>
      <c r="I851" s="138"/>
      <c r="J851" s="138"/>
      <c r="K851" s="138"/>
      <c r="L851" s="138"/>
      <c r="M851" s="138"/>
      <c r="N851" s="138"/>
      <c r="O851" s="138"/>
      <c r="P851" s="138"/>
      <c r="Q851" s="138"/>
      <c r="R851" s="138"/>
      <c r="T851" s="67"/>
      <c r="U851" s="67"/>
      <c r="V851" s="67"/>
      <c r="W851" s="67"/>
      <c r="X851" s="67"/>
      <c r="Y851" s="67"/>
    </row>
    <row r="852" spans="1:25" ht="18.75">
      <c r="A852" s="138"/>
      <c r="B852" s="138"/>
      <c r="C852" s="138"/>
      <c r="D852" s="141"/>
      <c r="E852" s="138"/>
      <c r="F852" s="138"/>
      <c r="G852" s="138"/>
      <c r="H852" s="138"/>
      <c r="I852" s="138"/>
      <c r="J852" s="138"/>
      <c r="K852" s="138"/>
      <c r="L852" s="138"/>
      <c r="M852" s="138"/>
      <c r="N852" s="138"/>
      <c r="O852" s="138"/>
      <c r="P852" s="138"/>
      <c r="Q852" s="138"/>
      <c r="R852" s="138"/>
      <c r="T852" s="67"/>
      <c r="U852" s="67"/>
      <c r="V852" s="67"/>
      <c r="W852" s="67"/>
      <c r="X852" s="67"/>
      <c r="Y852" s="67"/>
    </row>
    <row r="853" spans="1:25" ht="18.75">
      <c r="A853" s="138"/>
      <c r="B853" s="138"/>
      <c r="C853" s="138" t="s">
        <v>42</v>
      </c>
      <c r="D853" s="141"/>
      <c r="E853" s="138"/>
      <c r="F853" s="138"/>
      <c r="G853" s="138"/>
      <c r="H853" s="138"/>
      <c r="I853" s="138"/>
      <c r="J853" s="138"/>
      <c r="K853" s="138"/>
      <c r="L853" s="138"/>
      <c r="M853" s="138"/>
      <c r="N853" s="138"/>
      <c r="O853" s="138"/>
      <c r="P853" s="138"/>
      <c r="Q853" s="138"/>
      <c r="R853" s="138"/>
      <c r="T853" s="67"/>
      <c r="U853" s="67"/>
      <c r="V853" s="67"/>
      <c r="W853" s="67"/>
      <c r="X853" s="67"/>
      <c r="Y853" s="67"/>
    </row>
    <row r="854" spans="1:25" ht="18.75">
      <c r="A854" s="138">
        <v>1</v>
      </c>
      <c r="B854" s="138">
        <v>2</v>
      </c>
      <c r="C854" s="138" t="s">
        <v>349</v>
      </c>
      <c r="D854" s="137" t="s">
        <v>507</v>
      </c>
      <c r="E854" s="136">
        <f>BARDEZ!D249</f>
        <v>0</v>
      </c>
      <c r="F854" s="136">
        <f>BARDEZ!E249</f>
        <v>0</v>
      </c>
      <c r="G854" s="136">
        <f>BARDEZ!F249</f>
        <v>0</v>
      </c>
      <c r="H854" s="136">
        <f>BARDEZ!G249</f>
        <v>0</v>
      </c>
      <c r="I854" s="136">
        <f>BARDEZ!H249</f>
        <v>0</v>
      </c>
      <c r="J854" s="136">
        <f>BARDEZ!I249</f>
        <v>0</v>
      </c>
      <c r="K854" s="136">
        <f>BARDEZ!J249</f>
        <v>0</v>
      </c>
      <c r="L854" s="136">
        <f>BARDEZ!K249</f>
        <v>499.5371976489997</v>
      </c>
      <c r="M854" s="136">
        <f>BARDEZ!L249</f>
        <v>762.9295382275632</v>
      </c>
      <c r="N854" s="136">
        <f>BARDEZ!M249</f>
        <v>1126.2293183359266</v>
      </c>
      <c r="O854" s="136">
        <f>BARDEZ!N249</f>
        <v>39.2375</v>
      </c>
      <c r="P854" s="136">
        <f>BARDEZ!O249</f>
        <v>240</v>
      </c>
      <c r="Q854" s="136">
        <f>BARDEZ!P249</f>
        <v>495</v>
      </c>
      <c r="R854" s="136">
        <f>BARDEZ!R249</f>
        <v>3162.9335542124895</v>
      </c>
      <c r="T854" s="66">
        <v>0</v>
      </c>
      <c r="U854" s="66">
        <v>0</v>
      </c>
      <c r="V854" s="66">
        <v>0</v>
      </c>
      <c r="W854" s="66">
        <v>0</v>
      </c>
      <c r="X854" s="66">
        <v>3794.3884</v>
      </c>
      <c r="Y854" s="66">
        <v>3794.3884</v>
      </c>
    </row>
    <row r="855" spans="1:25" ht="18.75">
      <c r="A855" s="138"/>
      <c r="B855" s="138"/>
      <c r="C855" s="138"/>
      <c r="D855" s="141"/>
      <c r="E855" s="138"/>
      <c r="F855" s="138"/>
      <c r="G855" s="138"/>
      <c r="H855" s="138"/>
      <c r="I855" s="138"/>
      <c r="J855" s="138"/>
      <c r="K855" s="138"/>
      <c r="L855" s="138"/>
      <c r="M855" s="138"/>
      <c r="N855" s="138"/>
      <c r="O855" s="138"/>
      <c r="P855" s="138"/>
      <c r="Q855" s="138"/>
      <c r="R855" s="138"/>
      <c r="T855" s="67"/>
      <c r="U855" s="67"/>
      <c r="V855" s="67"/>
      <c r="W855" s="67"/>
      <c r="X855" s="67"/>
      <c r="Y855" s="67"/>
    </row>
    <row r="856" spans="1:25" ht="18.75">
      <c r="A856" s="138"/>
      <c r="B856" s="138"/>
      <c r="C856" s="138"/>
      <c r="D856" s="141"/>
      <c r="E856" s="138"/>
      <c r="F856" s="138"/>
      <c r="G856" s="138"/>
      <c r="H856" s="138"/>
      <c r="I856" s="138"/>
      <c r="J856" s="138"/>
      <c r="K856" s="138"/>
      <c r="L856" s="138"/>
      <c r="M856" s="138"/>
      <c r="N856" s="138"/>
      <c r="O856" s="138"/>
      <c r="P856" s="138"/>
      <c r="Q856" s="138"/>
      <c r="R856" s="138"/>
      <c r="T856" s="67"/>
      <c r="U856" s="67"/>
      <c r="V856" s="67"/>
      <c r="W856" s="67"/>
      <c r="X856" s="67"/>
      <c r="Y856" s="67"/>
    </row>
    <row r="857" spans="1:25" ht="18.75">
      <c r="A857" s="138">
        <v>3</v>
      </c>
      <c r="B857" s="138"/>
      <c r="C857" s="143" t="s">
        <v>17</v>
      </c>
      <c r="D857" s="144"/>
      <c r="E857" s="145">
        <f aca="true" t="shared" si="50" ref="E857:R857">E851+E854</f>
        <v>0</v>
      </c>
      <c r="F857" s="145">
        <f t="shared" si="50"/>
        <v>0</v>
      </c>
      <c r="G857" s="145">
        <f t="shared" si="50"/>
        <v>0</v>
      </c>
      <c r="H857" s="145">
        <f t="shared" si="50"/>
        <v>0</v>
      </c>
      <c r="I857" s="145">
        <f t="shared" si="50"/>
        <v>0</v>
      </c>
      <c r="J857" s="145">
        <f t="shared" si="50"/>
        <v>0</v>
      </c>
      <c r="K857" s="145">
        <f t="shared" si="50"/>
        <v>0</v>
      </c>
      <c r="L857" s="145">
        <f t="shared" si="50"/>
        <v>499.5371976489997</v>
      </c>
      <c r="M857" s="145">
        <f t="shared" si="50"/>
        <v>762.9295382275632</v>
      </c>
      <c r="N857" s="145">
        <f t="shared" si="50"/>
        <v>1126.2293183359266</v>
      </c>
      <c r="O857" s="145">
        <f t="shared" si="50"/>
        <v>39.2375</v>
      </c>
      <c r="P857" s="145">
        <f t="shared" si="50"/>
        <v>240</v>
      </c>
      <c r="Q857" s="145">
        <f t="shared" si="50"/>
        <v>495</v>
      </c>
      <c r="R857" s="145">
        <f t="shared" si="50"/>
        <v>3162.9335542124895</v>
      </c>
      <c r="T857" s="71">
        <v>0</v>
      </c>
      <c r="U857" s="71">
        <v>0</v>
      </c>
      <c r="V857" s="71">
        <v>0</v>
      </c>
      <c r="W857" s="71">
        <v>0</v>
      </c>
      <c r="X857" s="71">
        <v>4261.3884</v>
      </c>
      <c r="Y857" s="71">
        <v>4261.3884</v>
      </c>
    </row>
    <row r="858" spans="1:25" ht="18.75">
      <c r="A858" s="138"/>
      <c r="B858" s="138"/>
      <c r="C858" s="138"/>
      <c r="D858" s="141"/>
      <c r="E858" s="138"/>
      <c r="F858" s="138"/>
      <c r="G858" s="138"/>
      <c r="H858" s="138"/>
      <c r="I858" s="138"/>
      <c r="J858" s="138"/>
      <c r="K858" s="138"/>
      <c r="L858" s="138"/>
      <c r="M858" s="138"/>
      <c r="N858" s="138"/>
      <c r="O858" s="138"/>
      <c r="P858" s="138"/>
      <c r="Q858" s="138"/>
      <c r="R858" s="138"/>
      <c r="T858" s="67"/>
      <c r="U858" s="67"/>
      <c r="V858" s="67"/>
      <c r="W858" s="67"/>
      <c r="X858" s="67"/>
      <c r="Y858" s="67"/>
    </row>
    <row r="859" spans="1:25" ht="18.75">
      <c r="A859" s="138"/>
      <c r="B859" s="138"/>
      <c r="C859" s="143" t="s">
        <v>526</v>
      </c>
      <c r="D859" s="141"/>
      <c r="E859" s="138"/>
      <c r="F859" s="138"/>
      <c r="G859" s="138"/>
      <c r="H859" s="138"/>
      <c r="I859" s="138"/>
      <c r="J859" s="138"/>
      <c r="K859" s="138"/>
      <c r="L859" s="138"/>
      <c r="M859" s="138"/>
      <c r="N859" s="138"/>
      <c r="O859" s="138"/>
      <c r="P859" s="138"/>
      <c r="Q859" s="138"/>
      <c r="R859" s="138"/>
      <c r="T859" s="67"/>
      <c r="U859" s="67"/>
      <c r="V859" s="67"/>
      <c r="W859" s="67"/>
      <c r="X859" s="67"/>
      <c r="Y859" s="67"/>
    </row>
    <row r="860" spans="1:25" ht="18.75">
      <c r="A860" s="138"/>
      <c r="B860" s="138"/>
      <c r="C860" s="138" t="s">
        <v>41</v>
      </c>
      <c r="D860" s="141"/>
      <c r="E860" s="138"/>
      <c r="F860" s="138"/>
      <c r="G860" s="138"/>
      <c r="H860" s="138"/>
      <c r="I860" s="138"/>
      <c r="J860" s="138"/>
      <c r="K860" s="138"/>
      <c r="L860" s="138"/>
      <c r="M860" s="138"/>
      <c r="N860" s="138"/>
      <c r="O860" s="138"/>
      <c r="P860" s="138"/>
      <c r="Q860" s="138"/>
      <c r="R860" s="138"/>
      <c r="T860" s="67"/>
      <c r="U860" s="67"/>
      <c r="V860" s="67"/>
      <c r="W860" s="67"/>
      <c r="X860" s="67"/>
      <c r="Y860" s="67"/>
    </row>
    <row r="861" spans="1:25" ht="18.75">
      <c r="A861" s="138">
        <v>1</v>
      </c>
      <c r="B861" s="138">
        <v>1</v>
      </c>
      <c r="C861" s="143" t="s">
        <v>196</v>
      </c>
      <c r="D861" s="144" t="s">
        <v>507</v>
      </c>
      <c r="E861" s="145">
        <f>'TISWADI '!D263</f>
        <v>0</v>
      </c>
      <c r="F861" s="145">
        <f>'TISWADI '!E263</f>
        <v>0</v>
      </c>
      <c r="G861" s="145">
        <f>'TISWADI '!F263</f>
        <v>0</v>
      </c>
      <c r="H861" s="145">
        <f>'TISWADI '!G263</f>
        <v>0</v>
      </c>
      <c r="I861" s="145">
        <f>'TISWADI '!H263</f>
        <v>0</v>
      </c>
      <c r="J861" s="145">
        <f>'TISWADI '!I263</f>
        <v>0</v>
      </c>
      <c r="K861" s="145">
        <f>'TISWADI '!J263</f>
        <v>0</v>
      </c>
      <c r="L861" s="145">
        <f>'TISWADI '!K263</f>
        <v>658.2578600137505</v>
      </c>
      <c r="M861" s="145">
        <f>'TISWADI '!L263</f>
        <v>1005.3392771119096</v>
      </c>
      <c r="N861" s="145">
        <f>'TISWADI '!M263</f>
        <v>1484.0722662128192</v>
      </c>
      <c r="O861" s="145">
        <f>'TISWADI '!N263</f>
        <v>44.84</v>
      </c>
      <c r="P861" s="145">
        <f>'TISWADI '!O263</f>
        <v>277</v>
      </c>
      <c r="Q861" s="145">
        <f>'TISWADI '!P263</f>
        <v>550</v>
      </c>
      <c r="R861" s="145">
        <f>'TISWADI '!S263</f>
        <v>4019.5094033384794</v>
      </c>
      <c r="T861" s="71">
        <v>0</v>
      </c>
      <c r="U861" s="71">
        <v>0</v>
      </c>
      <c r="V861" s="71">
        <v>0</v>
      </c>
      <c r="W861" s="71">
        <v>0</v>
      </c>
      <c r="X861" s="71">
        <v>5000</v>
      </c>
      <c r="Y861" s="71">
        <v>5000</v>
      </c>
    </row>
    <row r="862" spans="1:25" ht="18.75">
      <c r="A862" s="138"/>
      <c r="B862" s="138"/>
      <c r="C862" s="143" t="s">
        <v>480</v>
      </c>
      <c r="D862" s="141"/>
      <c r="E862" s="138"/>
      <c r="F862" s="138"/>
      <c r="G862" s="138"/>
      <c r="H862" s="138"/>
      <c r="I862" s="138"/>
      <c r="J862" s="138"/>
      <c r="K862" s="138"/>
      <c r="L862" s="138"/>
      <c r="M862" s="138"/>
      <c r="N862" s="138"/>
      <c r="O862" s="138"/>
      <c r="P862" s="138"/>
      <c r="Q862" s="138"/>
      <c r="R862" s="138"/>
      <c r="T862" s="67"/>
      <c r="U862" s="67"/>
      <c r="V862" s="67"/>
      <c r="W862" s="67"/>
      <c r="X862" s="67"/>
      <c r="Y862" s="67"/>
    </row>
    <row r="863" spans="1:25" ht="18.75">
      <c r="A863" s="138"/>
      <c r="B863" s="138"/>
      <c r="C863" s="138" t="s">
        <v>41</v>
      </c>
      <c r="D863" s="141"/>
      <c r="E863" s="138"/>
      <c r="F863" s="138"/>
      <c r="G863" s="138"/>
      <c r="H863" s="138"/>
      <c r="I863" s="138"/>
      <c r="J863" s="138"/>
      <c r="K863" s="138"/>
      <c r="L863" s="138"/>
      <c r="M863" s="138"/>
      <c r="N863" s="138"/>
      <c r="O863" s="138"/>
      <c r="P863" s="138"/>
      <c r="Q863" s="138"/>
      <c r="R863" s="138"/>
      <c r="T863" s="67"/>
      <c r="U863" s="67"/>
      <c r="V863" s="67"/>
      <c r="W863" s="67"/>
      <c r="X863" s="67"/>
      <c r="Y863" s="67"/>
    </row>
    <row r="864" spans="1:25" ht="18.75">
      <c r="A864" s="138">
        <v>1</v>
      </c>
      <c r="B864" s="138">
        <v>1</v>
      </c>
      <c r="C864" s="138" t="s">
        <v>71</v>
      </c>
      <c r="D864" s="137" t="s">
        <v>507</v>
      </c>
      <c r="E864" s="136">
        <f>'TISWADI '!D167</f>
        <v>0</v>
      </c>
      <c r="F864" s="136">
        <f>'TISWADI '!E167</f>
        <v>0</v>
      </c>
      <c r="G864" s="136">
        <f>'TISWADI '!F167</f>
        <v>0</v>
      </c>
      <c r="H864" s="136">
        <f>'TISWADI '!G167</f>
        <v>0</v>
      </c>
      <c r="I864" s="136">
        <f>'TISWADI '!H167</f>
        <v>0</v>
      </c>
      <c r="J864" s="136">
        <f>'TISWADI '!I167</f>
        <v>0</v>
      </c>
      <c r="K864" s="136">
        <f>'TISWADI '!J167</f>
        <v>0</v>
      </c>
      <c r="L864" s="136">
        <f>'TISWADI '!K167</f>
        <v>14313.353786507494</v>
      </c>
      <c r="M864" s="136">
        <f>'TISWADI '!L167</f>
        <v>21860.394873938712</v>
      </c>
      <c r="N864" s="136">
        <f>'TISWADI '!M167</f>
        <v>32270.10671867144</v>
      </c>
      <c r="O864" s="136">
        <f>'TISWADI '!N167</f>
        <v>44.84</v>
      </c>
      <c r="P864" s="136">
        <f>'TISWADI '!O167</f>
        <v>277.14</v>
      </c>
      <c r="Q864" s="136">
        <f>'TISWADI '!P167</f>
        <v>572.6785714285714</v>
      </c>
      <c r="R864" s="136">
        <f>'TISWADI '!S167</f>
        <v>69338.5139505462</v>
      </c>
      <c r="T864" s="66">
        <v>0</v>
      </c>
      <c r="U864" s="66">
        <v>0</v>
      </c>
      <c r="V864" s="66">
        <v>0</v>
      </c>
      <c r="W864" s="66">
        <v>0</v>
      </c>
      <c r="X864" s="66">
        <v>108721.480258576</v>
      </c>
      <c r="Y864" s="66">
        <v>108721.480258576</v>
      </c>
    </row>
    <row r="865" spans="1:25" ht="18.75">
      <c r="A865" s="138"/>
      <c r="B865" s="138"/>
      <c r="C865" s="138"/>
      <c r="D865" s="141"/>
      <c r="E865" s="138"/>
      <c r="F865" s="138"/>
      <c r="G865" s="138"/>
      <c r="H865" s="138"/>
      <c r="I865" s="138"/>
      <c r="J865" s="138"/>
      <c r="K865" s="138"/>
      <c r="L865" s="138"/>
      <c r="M865" s="138"/>
      <c r="N865" s="138"/>
      <c r="O865" s="138"/>
      <c r="P865" s="138"/>
      <c r="Q865" s="138"/>
      <c r="R865" s="138"/>
      <c r="T865" s="67"/>
      <c r="U865" s="67"/>
      <c r="V865" s="67"/>
      <c r="W865" s="67"/>
      <c r="X865" s="67"/>
      <c r="Y865" s="67"/>
    </row>
    <row r="866" spans="1:25" ht="18.75">
      <c r="A866" s="138"/>
      <c r="B866" s="138"/>
      <c r="C866" s="138" t="s">
        <v>42</v>
      </c>
      <c r="D866" s="141"/>
      <c r="E866" s="138"/>
      <c r="F866" s="138"/>
      <c r="G866" s="138"/>
      <c r="H866" s="138"/>
      <c r="I866" s="138"/>
      <c r="J866" s="138"/>
      <c r="K866" s="138"/>
      <c r="L866" s="138"/>
      <c r="M866" s="138"/>
      <c r="N866" s="138"/>
      <c r="O866" s="138"/>
      <c r="P866" s="138"/>
      <c r="Q866" s="138"/>
      <c r="R866" s="138"/>
      <c r="T866" s="67"/>
      <c r="U866" s="67"/>
      <c r="V866" s="67"/>
      <c r="W866" s="67"/>
      <c r="X866" s="67"/>
      <c r="Y866" s="67"/>
    </row>
    <row r="867" spans="1:25" ht="18.75">
      <c r="A867" s="138">
        <v>1</v>
      </c>
      <c r="B867" s="138">
        <v>2</v>
      </c>
      <c r="C867" s="138" t="s">
        <v>348</v>
      </c>
      <c r="D867" s="137" t="s">
        <v>507</v>
      </c>
      <c r="E867" s="136">
        <f>BARDEZ!D247</f>
        <v>0</v>
      </c>
      <c r="F867" s="136">
        <f>BARDEZ!E247</f>
        <v>0</v>
      </c>
      <c r="G867" s="136">
        <f>BARDEZ!F247</f>
        <v>0</v>
      </c>
      <c r="H867" s="136">
        <f>BARDEZ!G247</f>
        <v>0</v>
      </c>
      <c r="I867" s="136">
        <f>BARDEZ!H247</f>
        <v>0</v>
      </c>
      <c r="J867" s="136">
        <f>BARDEZ!I247</f>
        <v>0</v>
      </c>
      <c r="K867" s="136">
        <f>BARDEZ!J247</f>
        <v>0</v>
      </c>
      <c r="L867" s="136">
        <f>BARDEZ!K247</f>
        <v>499.5371976489997</v>
      </c>
      <c r="M867" s="136">
        <f>BARDEZ!L247</f>
        <v>762.9295382275632</v>
      </c>
      <c r="N867" s="136">
        <f>BARDEZ!M247</f>
        <v>1126.2293183359266</v>
      </c>
      <c r="O867" s="136">
        <f>BARDEZ!N247</f>
        <v>39.2375</v>
      </c>
      <c r="P867" s="136">
        <f>BARDEZ!O247</f>
        <v>240</v>
      </c>
      <c r="Q867" s="136">
        <f>BARDEZ!P247</f>
        <v>495</v>
      </c>
      <c r="R867" s="136">
        <f>BARDEZ!R247</f>
        <v>3162.9335542124895</v>
      </c>
      <c r="T867" s="66">
        <v>0</v>
      </c>
      <c r="U867" s="66">
        <v>0</v>
      </c>
      <c r="V867" s="66">
        <v>0</v>
      </c>
      <c r="W867" s="66">
        <v>0</v>
      </c>
      <c r="X867" s="66">
        <v>3794.3884</v>
      </c>
      <c r="Y867" s="66">
        <v>3794.3884</v>
      </c>
    </row>
    <row r="868" spans="1:25" ht="18.75">
      <c r="A868" s="138"/>
      <c r="B868" s="138"/>
      <c r="C868" s="138"/>
      <c r="D868" s="141"/>
      <c r="E868" s="138"/>
      <c r="F868" s="138"/>
      <c r="G868" s="138"/>
      <c r="H868" s="138"/>
      <c r="I868" s="138"/>
      <c r="J868" s="138"/>
      <c r="K868" s="138"/>
      <c r="L868" s="138"/>
      <c r="M868" s="138"/>
      <c r="N868" s="138"/>
      <c r="O868" s="138"/>
      <c r="P868" s="138"/>
      <c r="Q868" s="138"/>
      <c r="R868" s="138"/>
      <c r="T868" s="67"/>
      <c r="U868" s="67"/>
      <c r="V868" s="67"/>
      <c r="W868" s="67"/>
      <c r="X868" s="67"/>
      <c r="Y868" s="67"/>
    </row>
    <row r="869" spans="1:25" s="72" customFormat="1" ht="18.75">
      <c r="A869" s="145">
        <v>2</v>
      </c>
      <c r="B869" s="143"/>
      <c r="C869" s="143" t="s">
        <v>17</v>
      </c>
      <c r="D869" s="144"/>
      <c r="E869" s="145">
        <f aca="true" t="shared" si="51" ref="E869:R869">E861+E864+E867</f>
        <v>0</v>
      </c>
      <c r="F869" s="145">
        <f t="shared" si="51"/>
        <v>0</v>
      </c>
      <c r="G869" s="145">
        <f t="shared" si="51"/>
        <v>0</v>
      </c>
      <c r="H869" s="145">
        <f t="shared" si="51"/>
        <v>0</v>
      </c>
      <c r="I869" s="145">
        <f t="shared" si="51"/>
        <v>0</v>
      </c>
      <c r="J869" s="145">
        <f t="shared" si="51"/>
        <v>0</v>
      </c>
      <c r="K869" s="145">
        <f t="shared" si="51"/>
        <v>0</v>
      </c>
      <c r="L869" s="145">
        <f t="shared" si="51"/>
        <v>15471.148844170246</v>
      </c>
      <c r="M869" s="145">
        <f t="shared" si="51"/>
        <v>23628.663689278186</v>
      </c>
      <c r="N869" s="145">
        <f t="shared" si="51"/>
        <v>34880.40830322019</v>
      </c>
      <c r="O869" s="145">
        <f t="shared" si="51"/>
        <v>128.91750000000002</v>
      </c>
      <c r="P869" s="145">
        <f t="shared" si="51"/>
        <v>794.14</v>
      </c>
      <c r="Q869" s="145">
        <f t="shared" si="51"/>
        <v>1617.6785714285716</v>
      </c>
      <c r="R869" s="145">
        <f t="shared" si="51"/>
        <v>76520.95690809717</v>
      </c>
      <c r="T869" s="71">
        <v>0</v>
      </c>
      <c r="U869" s="71">
        <v>0</v>
      </c>
      <c r="V869" s="71">
        <v>0</v>
      </c>
      <c r="W869" s="71">
        <v>0</v>
      </c>
      <c r="X869" s="71">
        <v>112514.868658576</v>
      </c>
      <c r="Y869" s="71">
        <v>112514.868658576</v>
      </c>
    </row>
    <row r="870" spans="1:25" ht="18.75">
      <c r="A870" s="138"/>
      <c r="B870" s="138"/>
      <c r="C870" s="138"/>
      <c r="D870" s="141"/>
      <c r="E870" s="138"/>
      <c r="F870" s="138"/>
      <c r="G870" s="138"/>
      <c r="H870" s="138"/>
      <c r="I870" s="138"/>
      <c r="J870" s="138"/>
      <c r="K870" s="138"/>
      <c r="L870" s="138"/>
      <c r="M870" s="138"/>
      <c r="N870" s="138"/>
      <c r="O870" s="138"/>
      <c r="P870" s="138"/>
      <c r="Q870" s="138"/>
      <c r="R870" s="138"/>
      <c r="T870" s="67"/>
      <c r="U870" s="67"/>
      <c r="V870" s="67"/>
      <c r="W870" s="67"/>
      <c r="X870" s="67"/>
      <c r="Y870" s="67"/>
    </row>
    <row r="871" spans="1:25" ht="18.75">
      <c r="A871" s="138"/>
      <c r="B871" s="138"/>
      <c r="C871" s="143" t="s">
        <v>502</v>
      </c>
      <c r="D871" s="141"/>
      <c r="E871" s="138"/>
      <c r="F871" s="138"/>
      <c r="G871" s="138"/>
      <c r="H871" s="138"/>
      <c r="I871" s="138"/>
      <c r="J871" s="138"/>
      <c r="K871" s="138"/>
      <c r="L871" s="138"/>
      <c r="M871" s="138"/>
      <c r="N871" s="138"/>
      <c r="O871" s="138"/>
      <c r="P871" s="138"/>
      <c r="Q871" s="138"/>
      <c r="R871" s="138"/>
      <c r="T871" s="67"/>
      <c r="U871" s="67"/>
      <c r="V871" s="67"/>
      <c r="W871" s="67"/>
      <c r="X871" s="67"/>
      <c r="Y871" s="67"/>
    </row>
    <row r="872" spans="1:25" ht="18.75">
      <c r="A872" s="138">
        <v>1</v>
      </c>
      <c r="B872" s="138">
        <v>1</v>
      </c>
      <c r="C872" s="143" t="s">
        <v>42</v>
      </c>
      <c r="D872" s="137" t="s">
        <v>507</v>
      </c>
      <c r="E872" s="136">
        <f>BARDEZ!D266</f>
        <v>0</v>
      </c>
      <c r="F872" s="136">
        <f>BARDEZ!E266</f>
        <v>0</v>
      </c>
      <c r="G872" s="136">
        <f>BARDEZ!F266</f>
        <v>0</v>
      </c>
      <c r="H872" s="136">
        <f>BARDEZ!G266</f>
        <v>0</v>
      </c>
      <c r="I872" s="136">
        <f>BARDEZ!H266</f>
        <v>0</v>
      </c>
      <c r="J872" s="136">
        <f>BARDEZ!I266</f>
        <v>0</v>
      </c>
      <c r="K872" s="136">
        <f>BARDEZ!J266</f>
        <v>0</v>
      </c>
      <c r="L872" s="136">
        <f>BARDEZ!K266</f>
        <v>65.82578600137505</v>
      </c>
      <c r="M872" s="136">
        <f>BARDEZ!L266</f>
        <v>100.53392771119097</v>
      </c>
      <c r="N872" s="136">
        <f>BARDEZ!M266</f>
        <v>148.40722662128192</v>
      </c>
      <c r="O872" s="136">
        <f>BARDEZ!N266</f>
        <v>39.2375</v>
      </c>
      <c r="P872" s="136">
        <f>BARDEZ!O266</f>
        <v>241</v>
      </c>
      <c r="Q872" s="136">
        <f>BARDEZ!P266</f>
        <v>495</v>
      </c>
      <c r="R872" s="136">
        <f>BARDEZ!R266</f>
        <v>1089.004440333848</v>
      </c>
      <c r="T872" s="66">
        <v>0</v>
      </c>
      <c r="U872" s="66">
        <v>0</v>
      </c>
      <c r="V872" s="66">
        <v>0</v>
      </c>
      <c r="W872" s="66">
        <v>0</v>
      </c>
      <c r="X872" s="66">
        <v>500</v>
      </c>
      <c r="Y872" s="66">
        <v>500</v>
      </c>
    </row>
    <row r="873" spans="1:25" ht="18.75">
      <c r="A873" s="138"/>
      <c r="B873" s="138"/>
      <c r="C873" s="138"/>
      <c r="D873" s="141"/>
      <c r="E873" s="138"/>
      <c r="F873" s="138"/>
      <c r="G873" s="138"/>
      <c r="H873" s="138"/>
      <c r="I873" s="138"/>
      <c r="J873" s="138"/>
      <c r="K873" s="138"/>
      <c r="L873" s="138"/>
      <c r="M873" s="138"/>
      <c r="N873" s="138"/>
      <c r="O873" s="138"/>
      <c r="P873" s="138"/>
      <c r="Q873" s="138"/>
      <c r="R873" s="138"/>
      <c r="T873" s="67"/>
      <c r="U873" s="67"/>
      <c r="V873" s="67"/>
      <c r="W873" s="67"/>
      <c r="X873" s="67"/>
      <c r="Y873" s="67"/>
    </row>
    <row r="874" spans="1:25" ht="18.75">
      <c r="A874" s="138"/>
      <c r="B874" s="138"/>
      <c r="C874" s="143" t="s">
        <v>503</v>
      </c>
      <c r="D874" s="141"/>
      <c r="E874" s="138"/>
      <c r="F874" s="138"/>
      <c r="G874" s="138"/>
      <c r="H874" s="138"/>
      <c r="I874" s="138"/>
      <c r="J874" s="138"/>
      <c r="K874" s="138"/>
      <c r="L874" s="138"/>
      <c r="M874" s="138"/>
      <c r="N874" s="138"/>
      <c r="O874" s="138"/>
      <c r="P874" s="138"/>
      <c r="Q874" s="138"/>
      <c r="R874" s="138"/>
      <c r="T874" s="67"/>
      <c r="U874" s="67"/>
      <c r="V874" s="67"/>
      <c r="W874" s="67"/>
      <c r="X874" s="67"/>
      <c r="Y874" s="67"/>
    </row>
    <row r="875" spans="1:25" ht="18.75">
      <c r="A875" s="138"/>
      <c r="B875" s="138"/>
      <c r="C875" s="138" t="s">
        <v>41</v>
      </c>
      <c r="D875" s="141"/>
      <c r="E875" s="138"/>
      <c r="F875" s="138"/>
      <c r="G875" s="138"/>
      <c r="H875" s="138"/>
      <c r="I875" s="138"/>
      <c r="J875" s="138"/>
      <c r="K875" s="138"/>
      <c r="L875" s="138"/>
      <c r="M875" s="138"/>
      <c r="N875" s="138"/>
      <c r="O875" s="138"/>
      <c r="P875" s="138"/>
      <c r="Q875" s="138"/>
      <c r="R875" s="138"/>
      <c r="T875" s="67"/>
      <c r="U875" s="67"/>
      <c r="V875" s="67"/>
      <c r="W875" s="67"/>
      <c r="X875" s="67"/>
      <c r="Y875" s="67"/>
    </row>
    <row r="876" spans="1:25" ht="18.75">
      <c r="A876" s="138">
        <v>1</v>
      </c>
      <c r="B876" s="138">
        <v>1</v>
      </c>
      <c r="C876" s="138" t="s">
        <v>527</v>
      </c>
      <c r="D876" s="137" t="s">
        <v>507</v>
      </c>
      <c r="E876" s="136">
        <f>'TISWADI '!D265:D265</f>
        <v>200</v>
      </c>
      <c r="F876" s="136">
        <f>'TISWADI '!E265:E265</f>
        <v>0</v>
      </c>
      <c r="G876" s="136">
        <f>'TISWADI '!F265:F265</f>
        <v>199</v>
      </c>
      <c r="H876" s="136">
        <f>'TISWADI '!G265:G265</f>
        <v>0</v>
      </c>
      <c r="I876" s="136">
        <f>'TISWADI '!H265:H265</f>
        <v>0</v>
      </c>
      <c r="J876" s="136">
        <f>'TISWADI '!I265:I265</f>
        <v>199</v>
      </c>
      <c r="K876" s="136">
        <f>'TISWADI '!J265:J265</f>
        <v>0</v>
      </c>
      <c r="L876" s="136">
        <f>'TISWADI '!K265:K265</f>
        <v>658.2578600137505</v>
      </c>
      <c r="M876" s="136">
        <f>'TISWADI '!L265:L265</f>
        <v>1005.3392771119096</v>
      </c>
      <c r="N876" s="136">
        <f>'TISWADI '!M265:M265</f>
        <v>1484.0722662128192</v>
      </c>
      <c r="O876" s="136">
        <f>'TISWADI '!N265:N265</f>
        <v>44</v>
      </c>
      <c r="P876" s="136">
        <f>'TISWADI '!O265:O265</f>
        <v>276</v>
      </c>
      <c r="Q876" s="136">
        <f>'TISWADI '!P265:P265</f>
        <v>550</v>
      </c>
      <c r="R876" s="136">
        <f>'TISWADI '!S265:S265</f>
        <v>4216.669403338479</v>
      </c>
      <c r="T876" s="66">
        <v>0</v>
      </c>
      <c r="U876" s="66">
        <v>0</v>
      </c>
      <c r="V876" s="66">
        <v>0</v>
      </c>
      <c r="W876" s="66">
        <v>0</v>
      </c>
      <c r="X876" s="66">
        <v>5000</v>
      </c>
      <c r="Y876" s="66">
        <v>5000</v>
      </c>
    </row>
    <row r="877" spans="1:25" ht="18.75">
      <c r="A877" s="138"/>
      <c r="B877" s="138"/>
      <c r="C877" s="138"/>
      <c r="D877" s="141"/>
      <c r="E877" s="138"/>
      <c r="F877" s="138"/>
      <c r="G877" s="138"/>
      <c r="H877" s="138"/>
      <c r="I877" s="138"/>
      <c r="J877" s="138"/>
      <c r="K877" s="138"/>
      <c r="L877" s="138"/>
      <c r="M877" s="138"/>
      <c r="N877" s="138"/>
      <c r="O877" s="138"/>
      <c r="P877" s="138"/>
      <c r="Q877" s="138"/>
      <c r="R877" s="138"/>
      <c r="T877" s="67"/>
      <c r="U877" s="67"/>
      <c r="V877" s="67"/>
      <c r="W877" s="67"/>
      <c r="X877" s="67"/>
      <c r="Y877" s="67"/>
    </row>
  </sheetData>
  <sheetProtection selectLockedCells="1" selectUnlockedCells="1"/>
  <mergeCells count="2">
    <mergeCell ref="E2:Q2"/>
    <mergeCell ref="T2:X2"/>
  </mergeCells>
  <printOptions/>
  <pageMargins left="0" right="0" top="0.3944444444444445" bottom="0.3944444444444445" header="0" footer="0"/>
  <pageSetup firstPageNumber="1" useFirstPageNumber="1" horizontalDpi="300" verticalDpi="300" orientation="landscape" pageOrder="overThenDown" paperSize="9" scale="63" r:id="rId1"/>
  <headerFooter alignWithMargins="0">
    <oddHeader>&amp;C&amp;A</oddHeader>
    <oddFooter>&amp;CPage &amp;P</oddFooter>
  </headerFooter>
  <rowBreaks count="17" manualBreakCount="17">
    <brk id="42" max="17" man="1"/>
    <brk id="70" max="255" man="1"/>
    <brk id="105" max="17" man="1"/>
    <brk id="145" max="17" man="1"/>
    <brk id="215" max="255" man="1"/>
    <brk id="287" max="255" man="1"/>
    <brk id="328" max="17" man="1"/>
    <brk id="411" max="17" man="1"/>
    <brk id="454" max="17" man="1"/>
    <brk id="537" max="17" man="1"/>
    <brk id="576" max="17" man="1"/>
    <brk id="616" max="17" man="1"/>
    <brk id="652" max="17" man="1"/>
    <brk id="699" max="17" man="1"/>
    <brk id="785" max="17" man="1"/>
    <brk id="832" max="17" man="1"/>
    <brk id="87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Y131"/>
  <sheetViews>
    <sheetView zoomScale="85" zoomScaleNormal="85" zoomScalePageLayoutView="0" workbookViewId="0" topLeftCell="A27">
      <selection activeCell="R128" sqref="R128"/>
    </sheetView>
  </sheetViews>
  <sheetFormatPr defaultColWidth="9.00390625" defaultRowHeight="14.25"/>
  <cols>
    <col min="1" max="1" width="5.375" style="202" customWidth="1"/>
    <col min="2" max="2" width="5.50390625" style="202" customWidth="1"/>
    <col min="3" max="3" width="23.625" style="202" customWidth="1"/>
    <col min="4" max="15" width="10.75390625" style="202" customWidth="1"/>
    <col min="16" max="16" width="11.625" style="202" customWidth="1"/>
    <col min="17" max="18" width="10.75390625" style="202" customWidth="1"/>
    <col min="19" max="19" width="2.375" style="202" customWidth="1"/>
    <col min="20" max="25" width="10.75390625" style="202" customWidth="1"/>
    <col min="26" max="16384" width="9.00390625" style="202" customWidth="1"/>
  </cols>
  <sheetData>
    <row r="1" spans="1:25" ht="18.75">
      <c r="A1" s="66"/>
      <c r="B1" s="66"/>
      <c r="C1" s="66" t="s">
        <v>48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 t="s">
        <v>49</v>
      </c>
      <c r="T1" s="66"/>
      <c r="U1" s="66"/>
      <c r="V1" s="66"/>
      <c r="W1" s="66"/>
      <c r="X1" s="66"/>
      <c r="Y1" s="66" t="s">
        <v>49</v>
      </c>
    </row>
    <row r="2" spans="1:25" ht="18" customHeight="1">
      <c r="A2" s="87"/>
      <c r="B2" s="87"/>
      <c r="C2" s="200"/>
      <c r="D2" s="216" t="s">
        <v>447</v>
      </c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03"/>
      <c r="R2" s="87"/>
      <c r="T2" s="215" t="s">
        <v>448</v>
      </c>
      <c r="U2" s="215"/>
      <c r="V2" s="215"/>
      <c r="W2" s="215"/>
      <c r="X2" s="215"/>
      <c r="Y2" s="87"/>
    </row>
    <row r="3" spans="1:25" s="208" customFormat="1" ht="45">
      <c r="A3" s="204"/>
      <c r="B3" s="205" t="s">
        <v>54</v>
      </c>
      <c r="C3" s="204" t="s">
        <v>55</v>
      </c>
      <c r="D3" s="204" t="s">
        <v>3</v>
      </c>
      <c r="E3" s="205" t="s">
        <v>4</v>
      </c>
      <c r="F3" s="204" t="s">
        <v>5</v>
      </c>
      <c r="G3" s="206" t="s">
        <v>6</v>
      </c>
      <c r="H3" s="206" t="s">
        <v>7</v>
      </c>
      <c r="I3" s="206" t="s">
        <v>8</v>
      </c>
      <c r="J3" s="207" t="s">
        <v>9</v>
      </c>
      <c r="K3" s="207" t="s">
        <v>10</v>
      </c>
      <c r="L3" s="207" t="s">
        <v>11</v>
      </c>
      <c r="M3" s="207" t="s">
        <v>12</v>
      </c>
      <c r="N3" s="207" t="s">
        <v>13</v>
      </c>
      <c r="O3" s="207" t="s">
        <v>14</v>
      </c>
      <c r="P3" s="207" t="s">
        <v>15</v>
      </c>
      <c r="Q3" s="204" t="s">
        <v>16</v>
      </c>
      <c r="R3" s="204" t="s">
        <v>17</v>
      </c>
      <c r="T3" s="204" t="s">
        <v>3</v>
      </c>
      <c r="U3" s="205" t="s">
        <v>4</v>
      </c>
      <c r="V3" s="204" t="s">
        <v>5</v>
      </c>
      <c r="W3" s="204" t="s">
        <v>18</v>
      </c>
      <c r="X3" s="204" t="s">
        <v>16</v>
      </c>
      <c r="Y3" s="204" t="s">
        <v>17</v>
      </c>
    </row>
    <row r="4" spans="1:25" ht="18.75">
      <c r="A4" s="87"/>
      <c r="B4" s="87" t="s">
        <v>56</v>
      </c>
      <c r="C4" s="87" t="s">
        <v>57</v>
      </c>
      <c r="D4" s="87" t="s">
        <v>19</v>
      </c>
      <c r="E4" s="87" t="s">
        <v>19</v>
      </c>
      <c r="F4" s="87" t="s">
        <v>19</v>
      </c>
      <c r="G4" s="87"/>
      <c r="H4" s="87"/>
      <c r="I4" s="87"/>
      <c r="J4" s="87" t="s">
        <v>20</v>
      </c>
      <c r="K4" s="87"/>
      <c r="L4" s="87"/>
      <c r="M4" s="87"/>
      <c r="N4" s="87"/>
      <c r="O4" s="87"/>
      <c r="P4" s="87"/>
      <c r="Q4" s="87" t="s">
        <v>21</v>
      </c>
      <c r="R4" s="87"/>
      <c r="T4" s="87" t="s">
        <v>19</v>
      </c>
      <c r="U4" s="87" t="s">
        <v>19</v>
      </c>
      <c r="V4" s="87" t="s">
        <v>19</v>
      </c>
      <c r="W4" s="87" t="s">
        <v>20</v>
      </c>
      <c r="X4" s="87" t="s">
        <v>21</v>
      </c>
      <c r="Y4" s="87"/>
    </row>
    <row r="5" spans="1:25" ht="18.75">
      <c r="A5" s="87"/>
      <c r="B5" s="87"/>
      <c r="C5" s="87"/>
      <c r="D5" s="209" t="s">
        <v>22</v>
      </c>
      <c r="E5" s="209" t="s">
        <v>22</v>
      </c>
      <c r="F5" s="209" t="s">
        <v>22</v>
      </c>
      <c r="G5" s="209" t="s">
        <v>22</v>
      </c>
      <c r="H5" s="209" t="s">
        <v>22</v>
      </c>
      <c r="I5" s="209" t="s">
        <v>22</v>
      </c>
      <c r="J5" s="209" t="s">
        <v>22</v>
      </c>
      <c r="K5" s="209" t="s">
        <v>22</v>
      </c>
      <c r="L5" s="209" t="s">
        <v>22</v>
      </c>
      <c r="M5" s="209" t="s">
        <v>22</v>
      </c>
      <c r="N5" s="209" t="s">
        <v>22</v>
      </c>
      <c r="O5" s="209" t="s">
        <v>22</v>
      </c>
      <c r="P5" s="209" t="s">
        <v>22</v>
      </c>
      <c r="Q5" s="209" t="s">
        <v>22</v>
      </c>
      <c r="R5" s="209" t="s">
        <v>22</v>
      </c>
      <c r="T5" s="87" t="s">
        <v>23</v>
      </c>
      <c r="U5" s="87" t="s">
        <v>23</v>
      </c>
      <c r="V5" s="87" t="s">
        <v>23</v>
      </c>
      <c r="W5" s="87" t="s">
        <v>23</v>
      </c>
      <c r="X5" s="87" t="s">
        <v>23</v>
      </c>
      <c r="Y5" s="87" t="s">
        <v>23</v>
      </c>
    </row>
    <row r="6" spans="1:25" ht="18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T6" s="87"/>
      <c r="U6" s="87"/>
      <c r="V6" s="87"/>
      <c r="W6" s="87"/>
      <c r="X6" s="87"/>
      <c r="Y6" s="87"/>
    </row>
    <row r="7" spans="1:25" ht="15">
      <c r="A7" s="200"/>
      <c r="B7" s="200">
        <v>1</v>
      </c>
      <c r="C7" s="200" t="s">
        <v>449</v>
      </c>
      <c r="D7" s="199">
        <f>BANKWISE!E68</f>
        <v>623775.6795694199</v>
      </c>
      <c r="E7" s="199">
        <f>BANKWISE!F68</f>
        <v>128163.51729631909</v>
      </c>
      <c r="F7" s="199">
        <f>BANKWISE!G68</f>
        <v>751939.1968657392</v>
      </c>
      <c r="G7" s="199">
        <f>BANKWISE!H68</f>
        <v>15511.764660790494</v>
      </c>
      <c r="H7" s="199">
        <f>BANKWISE!I68</f>
        <v>14540.829341379507</v>
      </c>
      <c r="I7" s="199">
        <f>BANKWISE!J68</f>
        <v>781991.7908679091</v>
      </c>
      <c r="J7" s="199">
        <f>BANKWISE!K68</f>
        <v>4883656.25612943</v>
      </c>
      <c r="K7" s="199">
        <f>BANKWISE!L68</f>
        <v>277330.0606231242</v>
      </c>
      <c r="L7" s="199">
        <f>BANKWISE!M68</f>
        <v>404250.2072786657</v>
      </c>
      <c r="M7" s="199">
        <f>BANKWISE!N68</f>
        <v>597161.5440780303</v>
      </c>
      <c r="N7" s="199">
        <f>BANKWISE!O68</f>
        <v>5414.7541666666675</v>
      </c>
      <c r="O7" s="199">
        <f>BANKWISE!P68</f>
        <v>32591.833333333332</v>
      </c>
      <c r="P7" s="199">
        <f>BANKWISE!Q68</f>
        <v>68954.21875</v>
      </c>
      <c r="Q7" s="199" t="e">
        <f>BANKWISE!#REF!</f>
        <v>#REF!</v>
      </c>
      <c r="R7" s="199" t="e">
        <f aca="true" t="shared" si="0" ref="R7:R38">SUM(I7:Q7)</f>
        <v>#REF!</v>
      </c>
      <c r="T7" s="199">
        <v>844068.771033243</v>
      </c>
      <c r="U7" s="199">
        <v>247384.349886398</v>
      </c>
      <c r="V7" s="199">
        <v>1091453.12091964</v>
      </c>
      <c r="W7" s="199">
        <v>1489915.66570877</v>
      </c>
      <c r="X7" s="199">
        <v>2891387.51069144</v>
      </c>
      <c r="Y7" s="199">
        <v>5472757.29731985</v>
      </c>
    </row>
    <row r="8" spans="1:25" ht="15">
      <c r="A8" s="200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199">
        <f t="shared" si="0"/>
        <v>0</v>
      </c>
      <c r="T8" s="200"/>
      <c r="U8" s="200"/>
      <c r="V8" s="201"/>
      <c r="W8" s="200"/>
      <c r="X8" s="200"/>
      <c r="Y8" s="201"/>
    </row>
    <row r="9" spans="1:25" ht="15">
      <c r="A9" s="200"/>
      <c r="B9" s="200">
        <v>2</v>
      </c>
      <c r="C9" s="200" t="s">
        <v>450</v>
      </c>
      <c r="D9" s="201">
        <f>BANKWISE!E73</f>
        <v>0</v>
      </c>
      <c r="E9" s="201">
        <f>BANKWISE!F73</f>
        <v>0</v>
      </c>
      <c r="F9" s="201">
        <f>BANKWISE!G73</f>
        <v>0</v>
      </c>
      <c r="G9" s="201">
        <f>BANKWISE!H73</f>
        <v>0</v>
      </c>
      <c r="H9" s="201">
        <f>BANKWISE!I73</f>
        <v>0</v>
      </c>
      <c r="I9" s="201">
        <f>BANKWISE!J73</f>
        <v>0</v>
      </c>
      <c r="J9" s="201">
        <f>BANKWISE!K73</f>
        <v>6923.442273285441</v>
      </c>
      <c r="K9" s="201">
        <f>BANKWISE!L73</f>
        <v>6709.30525021035</v>
      </c>
      <c r="L9" s="201">
        <f>BANKWISE!M73</f>
        <v>10246.938927593988</v>
      </c>
      <c r="M9" s="201">
        <f>BANKWISE!N73</f>
        <v>13126.433655019699</v>
      </c>
      <c r="N9" s="201">
        <f>BANKWISE!O73</f>
        <v>44.84</v>
      </c>
      <c r="O9" s="201">
        <f>BANKWISE!P73</f>
        <v>276</v>
      </c>
      <c r="P9" s="201">
        <f>BANKWISE!Q73</f>
        <v>572</v>
      </c>
      <c r="Q9" s="201" t="e">
        <f>BANKWISE!#REF!</f>
        <v>#REF!</v>
      </c>
      <c r="R9" s="199" t="e">
        <f t="shared" si="0"/>
        <v>#REF!</v>
      </c>
      <c r="T9" s="201">
        <v>20699.8063018996</v>
      </c>
      <c r="U9" s="201">
        <v>10051.4017234811</v>
      </c>
      <c r="V9" s="201">
        <v>30751.2080253807</v>
      </c>
      <c r="W9" s="201">
        <v>2174.62702332222</v>
      </c>
      <c r="X9" s="201">
        <v>128178.994615243</v>
      </c>
      <c r="Y9" s="201">
        <v>161104.829663946</v>
      </c>
    </row>
    <row r="10" spans="1:25" ht="15">
      <c r="A10" s="200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199">
        <f t="shared" si="0"/>
        <v>0</v>
      </c>
      <c r="T10" s="200"/>
      <c r="U10" s="200"/>
      <c r="V10" s="201"/>
      <c r="W10" s="200"/>
      <c r="X10" s="200"/>
      <c r="Y10" s="201"/>
    </row>
    <row r="11" spans="1:25" ht="15">
      <c r="A11" s="200"/>
      <c r="B11" s="200">
        <v>3</v>
      </c>
      <c r="C11" s="200" t="s">
        <v>451</v>
      </c>
      <c r="D11" s="201">
        <f>BANKWISE!E78</f>
        <v>0</v>
      </c>
      <c r="E11" s="201">
        <f>BANKWISE!F78</f>
        <v>0</v>
      </c>
      <c r="F11" s="201">
        <f>BANKWISE!G78</f>
        <v>0</v>
      </c>
      <c r="G11" s="201">
        <f>BANKWISE!H78</f>
        <v>0</v>
      </c>
      <c r="H11" s="201">
        <f>BANKWISE!I78</f>
        <v>0</v>
      </c>
      <c r="I11" s="201">
        <f>BANKWISE!J78</f>
        <v>0</v>
      </c>
      <c r="J11" s="201">
        <f>BANKWISE!K78</f>
        <v>34320.53806172221</v>
      </c>
      <c r="K11" s="201">
        <f>BANKWISE!L78</f>
        <v>9401.783586575018</v>
      </c>
      <c r="L11" s="201">
        <f>BANKWISE!M78</f>
        <v>14359.087659496392</v>
      </c>
      <c r="M11" s="201">
        <f>BANKWISE!N78</f>
        <v>21196.748449732768</v>
      </c>
      <c r="N11" s="201">
        <f>BANKWISE!O78</f>
        <v>39.2375</v>
      </c>
      <c r="O11" s="201">
        <f>BANKWISE!P78</f>
        <v>240</v>
      </c>
      <c r="P11" s="201">
        <f>BANKWISE!Q78</f>
        <v>501.09375</v>
      </c>
      <c r="Q11" s="201" t="e">
        <f>BANKWISE!#REF!</f>
        <v>#REF!</v>
      </c>
      <c r="R11" s="199" t="e">
        <f t="shared" si="0"/>
        <v>#REF!</v>
      </c>
      <c r="T11" s="201">
        <v>0</v>
      </c>
      <c r="U11" s="201">
        <v>0</v>
      </c>
      <c r="V11" s="201">
        <v>0</v>
      </c>
      <c r="W11" s="201">
        <v>7960.09167741207</v>
      </c>
      <c r="X11" s="201">
        <v>71414.1384227347</v>
      </c>
      <c r="Y11" s="201">
        <v>79374.2301001468</v>
      </c>
    </row>
    <row r="12" spans="1:25" ht="15">
      <c r="A12" s="200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199">
        <f t="shared" si="0"/>
        <v>0</v>
      </c>
      <c r="T12" s="200"/>
      <c r="U12" s="200"/>
      <c r="V12" s="201"/>
      <c r="W12" s="200"/>
      <c r="X12" s="200"/>
      <c r="Y12" s="201"/>
    </row>
    <row r="13" spans="1:25" ht="30">
      <c r="A13" s="200"/>
      <c r="B13" s="200">
        <v>4</v>
      </c>
      <c r="C13" s="200" t="s">
        <v>452</v>
      </c>
      <c r="D13" s="210">
        <f>BANKWISE!E82</f>
        <v>0</v>
      </c>
      <c r="E13" s="210">
        <f>BANKWISE!F82</f>
        <v>0</v>
      </c>
      <c r="F13" s="210">
        <f>BANKWISE!G82</f>
        <v>0</v>
      </c>
      <c r="G13" s="210">
        <f>BANKWISE!H82</f>
        <v>0</v>
      </c>
      <c r="H13" s="210">
        <f>BANKWISE!I82</f>
        <v>0</v>
      </c>
      <c r="I13" s="210">
        <f>BANKWISE!J82</f>
        <v>0</v>
      </c>
      <c r="J13" s="210">
        <f>BANKWISE!K82</f>
        <v>15885.53556257127</v>
      </c>
      <c r="K13" s="210">
        <f>BANKWISE!L82</f>
        <v>17333.23961072018</v>
      </c>
      <c r="L13" s="210">
        <f>BANKWISE!M82</f>
        <v>27236.220496372633</v>
      </c>
      <c r="M13" s="210">
        <f>BANKWISE!N82</f>
        <v>40205.849304169125</v>
      </c>
      <c r="N13" s="210">
        <f>BANKWISE!O82</f>
        <v>44.84</v>
      </c>
      <c r="O13" s="210">
        <f>BANKWISE!P82</f>
        <v>275</v>
      </c>
      <c r="P13" s="210">
        <f>BANKWISE!Q82</f>
        <v>550</v>
      </c>
      <c r="Q13" s="210" t="e">
        <f>BANKWISE!#REF!</f>
        <v>#REF!</v>
      </c>
      <c r="R13" s="199" t="e">
        <f t="shared" si="0"/>
        <v>#REF!</v>
      </c>
      <c r="T13" s="210">
        <v>0</v>
      </c>
      <c r="U13" s="210">
        <v>0</v>
      </c>
      <c r="V13" s="201">
        <v>0</v>
      </c>
      <c r="W13" s="210">
        <v>3684.39210351097</v>
      </c>
      <c r="X13" s="210">
        <v>135457.855454606</v>
      </c>
      <c r="Y13" s="201">
        <v>139142.247558117</v>
      </c>
    </row>
    <row r="14" spans="1:25" ht="15">
      <c r="A14" s="200"/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199">
        <f t="shared" si="0"/>
        <v>0</v>
      </c>
      <c r="T14" s="200"/>
      <c r="U14" s="200"/>
      <c r="V14" s="201"/>
      <c r="W14" s="200"/>
      <c r="X14" s="200"/>
      <c r="Y14" s="201"/>
    </row>
    <row r="15" spans="1:25" ht="15">
      <c r="A15" s="200"/>
      <c r="B15" s="200">
        <v>5</v>
      </c>
      <c r="C15" s="200" t="s">
        <v>453</v>
      </c>
      <c r="D15" s="199">
        <f>BANKWISE!E86</f>
        <v>155.0321621909535</v>
      </c>
      <c r="E15" s="199">
        <f>BANKWISE!F86</f>
        <v>0</v>
      </c>
      <c r="F15" s="199">
        <f>BANKWISE!G86</f>
        <v>155.0321621909535</v>
      </c>
      <c r="G15" s="199">
        <f>BANKWISE!H86</f>
        <v>0</v>
      </c>
      <c r="H15" s="199">
        <f>BANKWISE!I86</f>
        <v>0</v>
      </c>
      <c r="I15" s="199">
        <f>BANKWISE!J86</f>
        <v>155.0321621909535</v>
      </c>
      <c r="J15" s="199">
        <f>BANKWISE!K86</f>
        <v>254.3829678981707</v>
      </c>
      <c r="K15" s="199">
        <f>BANKWISE!L86</f>
        <v>67.66890800941356</v>
      </c>
      <c r="L15" s="199">
        <f>BANKWISE!M86</f>
        <v>103.34887768710433</v>
      </c>
      <c r="M15" s="199">
        <f>BANKWISE!N86</f>
        <v>152.56262896667783</v>
      </c>
      <c r="N15" s="199">
        <f>BANKWISE!O86</f>
        <v>44</v>
      </c>
      <c r="O15" s="199">
        <f>BANKWISE!P86</f>
        <v>276</v>
      </c>
      <c r="P15" s="199">
        <f>BANKWISE!Q86</f>
        <v>550</v>
      </c>
      <c r="Q15" s="199" t="e">
        <f>BANKWISE!#REF!</f>
        <v>#REF!</v>
      </c>
      <c r="R15" s="199" t="e">
        <f t="shared" si="0"/>
        <v>#REF!</v>
      </c>
      <c r="T15" s="199">
        <v>118</v>
      </c>
      <c r="U15" s="199">
        <v>0</v>
      </c>
      <c r="V15" s="199">
        <v>118</v>
      </c>
      <c r="W15" s="199">
        <v>59</v>
      </c>
      <c r="X15" s="199">
        <v>6014</v>
      </c>
      <c r="Y15" s="199">
        <v>6191</v>
      </c>
    </row>
    <row r="16" spans="1:25" ht="15">
      <c r="A16" s="200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199">
        <f t="shared" si="0"/>
        <v>0</v>
      </c>
      <c r="T16" s="200"/>
      <c r="U16" s="200"/>
      <c r="V16" s="201"/>
      <c r="W16" s="200"/>
      <c r="X16" s="200"/>
      <c r="Y16" s="201"/>
    </row>
    <row r="17" spans="1:25" ht="15">
      <c r="A17" s="200"/>
      <c r="B17" s="200">
        <v>6</v>
      </c>
      <c r="C17" s="200" t="s">
        <v>454</v>
      </c>
      <c r="D17" s="199">
        <f>BANKWISE!E91</f>
        <v>0</v>
      </c>
      <c r="E17" s="199">
        <f>BANKWISE!F91</f>
        <v>0</v>
      </c>
      <c r="F17" s="199">
        <f>BANKWISE!G91</f>
        <v>0</v>
      </c>
      <c r="G17" s="199">
        <f>BANKWISE!H91</f>
        <v>0</v>
      </c>
      <c r="H17" s="199">
        <f>BANKWISE!I91</f>
        <v>0</v>
      </c>
      <c r="I17" s="199">
        <f>BANKWISE!J91</f>
        <v>0</v>
      </c>
      <c r="J17" s="199">
        <f>BANKWISE!K91</f>
        <v>15978.871395540737</v>
      </c>
      <c r="K17" s="199">
        <f>BANKWISE!L91</f>
        <v>1392.1325014845736</v>
      </c>
      <c r="L17" s="199">
        <f>BANKWISE!M91</f>
        <v>2126.1660022673486</v>
      </c>
      <c r="M17" s="199">
        <f>BANKWISE!N91</f>
        <v>3138.6260033470385</v>
      </c>
      <c r="N17" s="199">
        <f>BANKWISE!O91</f>
        <v>44.84</v>
      </c>
      <c r="O17" s="199">
        <f>BANKWISE!P91</f>
        <v>277.14</v>
      </c>
      <c r="P17" s="199">
        <f>BANKWISE!Q91</f>
        <v>550</v>
      </c>
      <c r="Q17" s="199" t="e">
        <f>BANKWISE!#REF!</f>
        <v>#REF!</v>
      </c>
      <c r="R17" s="199" t="e">
        <f t="shared" si="0"/>
        <v>#REF!</v>
      </c>
      <c r="T17" s="199">
        <v>20720.2981752007</v>
      </c>
      <c r="U17" s="199">
        <v>19611.4070560227</v>
      </c>
      <c r="V17" s="199">
        <v>40330.7052312234</v>
      </c>
      <c r="W17" s="199">
        <v>14820.1919404787</v>
      </c>
      <c r="X17" s="199">
        <v>38761.3547020523</v>
      </c>
      <c r="Y17" s="199">
        <v>93912.2518737544</v>
      </c>
    </row>
    <row r="18" spans="1:25" ht="15">
      <c r="A18" s="200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199">
        <f t="shared" si="0"/>
        <v>0</v>
      </c>
      <c r="T18" s="200"/>
      <c r="U18" s="200"/>
      <c r="V18" s="201"/>
      <c r="W18" s="200"/>
      <c r="X18" s="200"/>
      <c r="Y18" s="201"/>
    </row>
    <row r="19" spans="1:25" ht="15">
      <c r="A19" s="200"/>
      <c r="B19" s="200">
        <v>7</v>
      </c>
      <c r="C19" s="200" t="s">
        <v>455</v>
      </c>
      <c r="D19" s="201">
        <f>BANKWISE!E104</f>
        <v>0</v>
      </c>
      <c r="E19" s="201">
        <f>BANKWISE!F104</f>
        <v>0</v>
      </c>
      <c r="F19" s="201">
        <f>BANKWISE!G104</f>
        <v>0</v>
      </c>
      <c r="G19" s="201">
        <f>BANKWISE!H104</f>
        <v>0</v>
      </c>
      <c r="H19" s="201">
        <f>BANKWISE!I104</f>
        <v>0</v>
      </c>
      <c r="I19" s="201">
        <f>BANKWISE!J104</f>
        <v>0</v>
      </c>
      <c r="J19" s="201">
        <f>BANKWISE!K104</f>
        <v>394400.82034801715</v>
      </c>
      <c r="K19" s="201">
        <f>BANKWISE!L104</f>
        <v>19200.452713516206</v>
      </c>
      <c r="L19" s="201">
        <f>BANKWISE!M104</f>
        <v>29324.32778064293</v>
      </c>
      <c r="M19" s="201">
        <f>BANKWISE!N104</f>
        <v>43288.2933904729</v>
      </c>
      <c r="N19" s="201">
        <f>BANKWISE!O104</f>
        <v>84.0775</v>
      </c>
      <c r="O19" s="201">
        <f>BANKWISE!P104</f>
        <v>517.14</v>
      </c>
      <c r="P19" s="201">
        <f>BANKWISE!Q104</f>
        <v>1067</v>
      </c>
      <c r="Q19" s="201" t="e">
        <f>BANKWISE!#REF!</f>
        <v>#REF!</v>
      </c>
      <c r="R19" s="199" t="e">
        <f t="shared" si="0"/>
        <v>#REF!</v>
      </c>
      <c r="T19" s="201">
        <v>0</v>
      </c>
      <c r="U19" s="201">
        <v>0</v>
      </c>
      <c r="V19" s="201">
        <v>0</v>
      </c>
      <c r="W19" s="201">
        <v>91474.8679630463</v>
      </c>
      <c r="X19" s="201">
        <v>145842.943015637</v>
      </c>
      <c r="Y19" s="201">
        <v>237317.810978684</v>
      </c>
    </row>
    <row r="20" spans="1:25" ht="15">
      <c r="A20" s="200"/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199">
        <f t="shared" si="0"/>
        <v>0</v>
      </c>
      <c r="T20" s="200"/>
      <c r="U20" s="200"/>
      <c r="V20" s="201"/>
      <c r="W20" s="200"/>
      <c r="X20" s="200"/>
      <c r="Y20" s="201"/>
    </row>
    <row r="21" spans="1:25" ht="15">
      <c r="A21" s="200"/>
      <c r="B21" s="200">
        <v>8</v>
      </c>
      <c r="C21" s="200" t="s">
        <v>456</v>
      </c>
      <c r="D21" s="201">
        <f>BANKWISE!E129</f>
        <v>22090.748024195927</v>
      </c>
      <c r="E21" s="201">
        <f>BANKWISE!F129</f>
        <v>41704.779596925786</v>
      </c>
      <c r="F21" s="201">
        <f>BANKWISE!G129</f>
        <v>63795.52762112171</v>
      </c>
      <c r="G21" s="201">
        <f>BANKWISE!H129</f>
        <v>5048.223937245406</v>
      </c>
      <c r="H21" s="201">
        <f>BANKWISE!I129</f>
        <v>4738.373938440432</v>
      </c>
      <c r="I21" s="201">
        <f>BANKWISE!J129</f>
        <v>73582.12549680755</v>
      </c>
      <c r="J21" s="201">
        <f>BANKWISE!K129</f>
        <v>387223.1687022496</v>
      </c>
      <c r="K21" s="201">
        <f>BANKWISE!L129</f>
        <v>82892.78023721126</v>
      </c>
      <c r="L21" s="201">
        <f>BANKWISE!M129</f>
        <v>127252.60981683175</v>
      </c>
      <c r="M21" s="201">
        <f>BANKWISE!N129</f>
        <v>187110.9954438945</v>
      </c>
      <c r="N21" s="201">
        <f>BANKWISE!O129</f>
        <v>839.8175000000001</v>
      </c>
      <c r="O21" s="201">
        <f>BANKWISE!P129</f>
        <v>5063.5</v>
      </c>
      <c r="P21" s="201">
        <f>BANKWISE!Q129</f>
        <v>10631.84375</v>
      </c>
      <c r="Q21" s="201" t="e">
        <f>BANKWISE!#REF!</f>
        <v>#REF!</v>
      </c>
      <c r="R21" s="199" t="e">
        <f t="shared" si="0"/>
        <v>#REF!</v>
      </c>
      <c r="T21" s="201">
        <v>46125.6586173986</v>
      </c>
      <c r="U21" s="201">
        <v>74203.9105542207</v>
      </c>
      <c r="V21" s="201">
        <v>120329.569171619</v>
      </c>
      <c r="W21" s="201">
        <v>98876.9614413604</v>
      </c>
      <c r="X21" s="201">
        <v>733551.005198042</v>
      </c>
      <c r="Y21" s="201">
        <v>952757.535811022</v>
      </c>
    </row>
    <row r="22" spans="1:25" ht="15">
      <c r="A22" s="200"/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199">
        <f t="shared" si="0"/>
        <v>0</v>
      </c>
      <c r="T22" s="200"/>
      <c r="U22" s="200"/>
      <c r="V22" s="201"/>
      <c r="W22" s="200"/>
      <c r="X22" s="200"/>
      <c r="Y22" s="201"/>
    </row>
    <row r="23" spans="1:25" ht="15">
      <c r="A23" s="200"/>
      <c r="B23" s="200">
        <v>9</v>
      </c>
      <c r="C23" s="200" t="s">
        <v>457</v>
      </c>
      <c r="D23" s="199">
        <f>BANKWISE!E171</f>
        <v>149450.75801678424</v>
      </c>
      <c r="E23" s="199">
        <f>BANKWISE!F171</f>
        <v>245938.8452154613</v>
      </c>
      <c r="F23" s="199">
        <f>BANKWISE!G171</f>
        <v>395389.6032322456</v>
      </c>
      <c r="G23" s="199">
        <f>BANKWISE!H171</f>
        <v>29770.07377846696</v>
      </c>
      <c r="H23" s="199">
        <f>BANKWISE!I171</f>
        <v>27903.87416037665</v>
      </c>
      <c r="I23" s="199">
        <f>BANKWISE!J171</f>
        <v>453063.5511710892</v>
      </c>
      <c r="J23" s="199">
        <f>BANKWISE!K171</f>
        <v>1808021.4567192027</v>
      </c>
      <c r="K23" s="199">
        <f>BANKWISE!L171</f>
        <v>231552.8537376077</v>
      </c>
      <c r="L23" s="199">
        <f>BANKWISE!M171</f>
        <v>345398.90389016445</v>
      </c>
      <c r="M23" s="199">
        <f>BANKWISE!N171</f>
        <v>506755.52479024284</v>
      </c>
      <c r="N23" s="199">
        <f>BANKWISE!O171</f>
        <v>2336.195833333333</v>
      </c>
      <c r="O23" s="199">
        <f>BANKWISE!P171</f>
        <v>14099.166666666666</v>
      </c>
      <c r="P23" s="199">
        <f>BANKWISE!Q171</f>
        <v>29626.120535714286</v>
      </c>
      <c r="Q23" s="199" t="e">
        <f>BANKWISE!#REF!</f>
        <v>#REF!</v>
      </c>
      <c r="R23" s="199" t="e">
        <f t="shared" si="0"/>
        <v>#REF!</v>
      </c>
      <c r="T23" s="199">
        <v>212692.354868926</v>
      </c>
      <c r="U23" s="199">
        <v>329410.154615368</v>
      </c>
      <c r="V23" s="199">
        <v>542101.509484295</v>
      </c>
      <c r="W23" s="199">
        <v>569813.365741349</v>
      </c>
      <c r="X23" s="199">
        <v>2244473.15529812</v>
      </c>
      <c r="Y23" s="199">
        <v>3356388.03052376</v>
      </c>
    </row>
    <row r="24" spans="1:25" ht="15">
      <c r="A24" s="200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199">
        <f t="shared" si="0"/>
        <v>0</v>
      </c>
      <c r="T24" s="200"/>
      <c r="U24" s="200"/>
      <c r="V24" s="201"/>
      <c r="W24" s="200"/>
      <c r="X24" s="200"/>
      <c r="Y24" s="201"/>
    </row>
    <row r="25" spans="1:25" ht="15">
      <c r="A25" s="200"/>
      <c r="B25" s="200">
        <v>10</v>
      </c>
      <c r="C25" s="200" t="s">
        <v>458</v>
      </c>
      <c r="D25" s="201">
        <f>BANKWISE!E190</f>
        <v>30445.458748325742</v>
      </c>
      <c r="E25" s="201">
        <f>BANKWISE!F190</f>
        <v>20093.49935883625</v>
      </c>
      <c r="F25" s="201">
        <f>BANKWISE!G190</f>
        <v>50538.958107162</v>
      </c>
      <c r="G25" s="201">
        <f>BANKWISE!H190</f>
        <v>2432.250821768631</v>
      </c>
      <c r="H25" s="201">
        <f>BANKWISE!I190</f>
        <v>2278.1460450972945</v>
      </c>
      <c r="I25" s="201">
        <f>BANKWISE!J190</f>
        <v>55249.35497402792</v>
      </c>
      <c r="J25" s="201">
        <f>BANKWISE!K190</f>
        <v>155045.16467899253</v>
      </c>
      <c r="K25" s="201">
        <f>BANKWISE!L190</f>
        <v>50624.30846724267</v>
      </c>
      <c r="L25" s="201">
        <f>BANKWISE!M190</f>
        <v>77317.12565906154</v>
      </c>
      <c r="M25" s="201">
        <f>BANKWISE!N190</f>
        <v>112134.80454432892</v>
      </c>
      <c r="N25" s="201">
        <f>BANKWISE!O190</f>
        <v>550.155</v>
      </c>
      <c r="O25" s="201">
        <f>BANKWISE!P190</f>
        <v>3470</v>
      </c>
      <c r="P25" s="201">
        <f>BANKWISE!Q190</f>
        <v>7124.1875</v>
      </c>
      <c r="Q25" s="201" t="e">
        <f>BANKWISE!#REF!</f>
        <v>#REF!</v>
      </c>
      <c r="R25" s="199" t="e">
        <f t="shared" si="0"/>
        <v>#REF!</v>
      </c>
      <c r="T25" s="201">
        <v>95059.6357111358</v>
      </c>
      <c r="U25" s="201">
        <v>47452.9727137837</v>
      </c>
      <c r="V25" s="201">
        <v>142512.60842492</v>
      </c>
      <c r="W25" s="201">
        <v>66075.8111567372</v>
      </c>
      <c r="X25" s="201">
        <v>698773.487605599</v>
      </c>
      <c r="Y25" s="201">
        <v>907361.907187256</v>
      </c>
    </row>
    <row r="26" spans="1:25" ht="15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199">
        <f t="shared" si="0"/>
        <v>0</v>
      </c>
      <c r="T26" s="200"/>
      <c r="U26" s="200"/>
      <c r="V26" s="201"/>
      <c r="W26" s="200"/>
      <c r="X26" s="200"/>
      <c r="Y26" s="201"/>
    </row>
    <row r="27" spans="1:25" ht="15">
      <c r="A27" s="200"/>
      <c r="B27" s="200">
        <v>11</v>
      </c>
      <c r="C27" s="200" t="s">
        <v>459</v>
      </c>
      <c r="D27" s="199">
        <f>BANKWISE!E229</f>
        <v>363771.4088607134</v>
      </c>
      <c r="E27" s="199">
        <f>BANKWISE!F229</f>
        <v>157090.01514365285</v>
      </c>
      <c r="F27" s="199">
        <f>BANKWISE!G229</f>
        <v>520861.42400436633</v>
      </c>
      <c r="G27" s="199">
        <f>BANKWISE!H229</f>
        <v>19015.220375577494</v>
      </c>
      <c r="H27" s="199">
        <f>BANKWISE!I229</f>
        <v>17810.436615979954</v>
      </c>
      <c r="I27" s="199">
        <f>BANKWISE!J229</f>
        <v>557687.0809959237</v>
      </c>
      <c r="J27" s="199">
        <f>BANKWISE!K229</f>
        <v>946920.1699089108</v>
      </c>
      <c r="K27" s="199">
        <f>BANKWISE!L229</f>
        <v>118827.32325762244</v>
      </c>
      <c r="L27" s="199">
        <f>BANKWISE!M229</f>
        <v>183168.73006618698</v>
      </c>
      <c r="M27" s="199">
        <f>BANKWISE!N229</f>
        <v>265901.60152627603</v>
      </c>
      <c r="N27" s="199">
        <f>BANKWISE!O229</f>
        <v>1953.7883333333334</v>
      </c>
      <c r="O27" s="199">
        <f>BANKWISE!P229</f>
        <v>11902.666666666666</v>
      </c>
      <c r="P27" s="199">
        <f>BANKWISE!Q229</f>
        <v>24755</v>
      </c>
      <c r="Q27" s="199" t="e">
        <f>BANKWISE!#REF!</f>
        <v>#REF!</v>
      </c>
      <c r="R27" s="199" t="e">
        <f t="shared" si="0"/>
        <v>#REF!</v>
      </c>
      <c r="T27" s="199">
        <v>486153.207795692</v>
      </c>
      <c r="U27" s="199">
        <v>336415.801923631</v>
      </c>
      <c r="V27" s="199">
        <v>822569.009719323</v>
      </c>
      <c r="W27" s="199">
        <v>225277.439635314</v>
      </c>
      <c r="X27" s="199">
        <v>1045687.85250719</v>
      </c>
      <c r="Y27" s="199">
        <v>2093534.30186183</v>
      </c>
    </row>
    <row r="28" spans="1:25" ht="15">
      <c r="A28" s="200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199">
        <f t="shared" si="0"/>
        <v>0</v>
      </c>
      <c r="T28" s="200"/>
      <c r="U28" s="200"/>
      <c r="V28" s="201"/>
      <c r="W28" s="200"/>
      <c r="X28" s="200"/>
      <c r="Y28" s="201"/>
    </row>
    <row r="29" spans="1:25" ht="15">
      <c r="A29" s="200"/>
      <c r="B29" s="200">
        <v>12</v>
      </c>
      <c r="C29" s="200" t="s">
        <v>460</v>
      </c>
      <c r="D29" s="199">
        <f>BANKWISE!E260</f>
        <v>207621.22338825866</v>
      </c>
      <c r="E29" s="199">
        <f>BANKWISE!F260</f>
        <v>244751.323525523</v>
      </c>
      <c r="F29" s="199">
        <f>BANKWISE!G260</f>
        <v>452372.5469137817</v>
      </c>
      <c r="G29" s="199">
        <f>BANKWISE!H260</f>
        <v>29626.32825387518</v>
      </c>
      <c r="H29" s="199">
        <f>BANKWISE!I260</f>
        <v>27749.236196471647</v>
      </c>
      <c r="I29" s="199">
        <f>BANKWISE!J260</f>
        <v>509748.11136412853</v>
      </c>
      <c r="J29" s="199">
        <f>BANKWISE!K260</f>
        <v>1084851.8285188056</v>
      </c>
      <c r="K29" s="199">
        <f>BANKWISE!L260</f>
        <v>29397.69977800401</v>
      </c>
      <c r="L29" s="199">
        <f>BANKWISE!M260</f>
        <v>46397.40062116679</v>
      </c>
      <c r="M29" s="199">
        <f>BANKWISE!N260</f>
        <v>72277.11520267479</v>
      </c>
      <c r="N29" s="199">
        <f>BANKWISE!O260</f>
        <v>1575.0808333333334</v>
      </c>
      <c r="O29" s="199">
        <f>BANKWISE!P260</f>
        <v>9779.166666666666</v>
      </c>
      <c r="P29" s="199">
        <f>BANKWISE!Q260</f>
        <v>20066.714285714286</v>
      </c>
      <c r="Q29" s="199" t="e">
        <f>BANKWISE!#REF!</f>
        <v>#REF!</v>
      </c>
      <c r="R29" s="199" t="e">
        <f t="shared" si="0"/>
        <v>#REF!</v>
      </c>
      <c r="T29" s="199">
        <v>231431.746278392</v>
      </c>
      <c r="U29" s="199">
        <v>274972.643331776</v>
      </c>
      <c r="V29" s="199">
        <v>506405.389610168</v>
      </c>
      <c r="W29" s="199">
        <v>251733.045490761</v>
      </c>
      <c r="X29" s="199">
        <v>227089.156594504</v>
      </c>
      <c r="Y29" s="199">
        <v>985226.591695433</v>
      </c>
    </row>
    <row r="30" spans="1:25" ht="15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199">
        <f t="shared" si="0"/>
        <v>0</v>
      </c>
      <c r="T30" s="200"/>
      <c r="U30" s="200"/>
      <c r="V30" s="201"/>
      <c r="W30" s="200"/>
      <c r="X30" s="200"/>
      <c r="Y30" s="201"/>
    </row>
    <row r="31" spans="1:25" ht="15">
      <c r="A31" s="200"/>
      <c r="B31" s="200">
        <v>13</v>
      </c>
      <c r="C31" s="200" t="s">
        <v>461</v>
      </c>
      <c r="D31" s="199">
        <f>BANKWISE!E297</f>
        <v>24155.101511294713</v>
      </c>
      <c r="E31" s="199">
        <f>BANKWISE!F297</f>
        <v>58086.97345150547</v>
      </c>
      <c r="F31" s="199">
        <f>BANKWISE!G297</f>
        <v>82242.0749628002</v>
      </c>
      <c r="G31" s="199">
        <f>BANKWISE!H297</f>
        <v>7031.233653651627</v>
      </c>
      <c r="H31" s="199">
        <f>BANKWISE!I297</f>
        <v>6585.742307848705</v>
      </c>
      <c r="I31" s="199">
        <f>BANKWISE!J297</f>
        <v>95859.05092430052</v>
      </c>
      <c r="J31" s="199">
        <f>BANKWISE!K297</f>
        <v>473659.3032049529</v>
      </c>
      <c r="K31" s="199">
        <f>BANKWISE!L297</f>
        <v>127754.75269275624</v>
      </c>
      <c r="L31" s="199">
        <f>BANKWISE!M297</f>
        <v>193299.73138530046</v>
      </c>
      <c r="M31" s="199">
        <f>BANKWISE!N297</f>
        <v>288208.4606163959</v>
      </c>
      <c r="N31" s="199">
        <f>BANKWISE!O297</f>
        <v>1633.8983333333333</v>
      </c>
      <c r="O31" s="199">
        <f>BANKWISE!P297</f>
        <v>10068.666666666666</v>
      </c>
      <c r="P31" s="199">
        <f>BANKWISE!Q297</f>
        <v>20685</v>
      </c>
      <c r="Q31" s="199" t="e">
        <f>BANKWISE!#REF!</f>
        <v>#REF!</v>
      </c>
      <c r="R31" s="199" t="e">
        <f t="shared" si="0"/>
        <v>#REF!</v>
      </c>
      <c r="T31" s="199">
        <v>67945.4144289609</v>
      </c>
      <c r="U31" s="199">
        <v>79285.1705441248</v>
      </c>
      <c r="V31" s="199">
        <v>147229.584973086</v>
      </c>
      <c r="W31" s="199">
        <v>143325.270291782</v>
      </c>
      <c r="X31" s="199">
        <v>1267666.76794721</v>
      </c>
      <c r="Y31" s="199">
        <v>1558221.62321208</v>
      </c>
    </row>
    <row r="32" spans="1:25" ht="15">
      <c r="A32" s="200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199">
        <f t="shared" si="0"/>
        <v>0</v>
      </c>
      <c r="T32" s="200"/>
      <c r="U32" s="200"/>
      <c r="V32" s="201"/>
      <c r="W32" s="200"/>
      <c r="X32" s="200"/>
      <c r="Y32" s="201"/>
    </row>
    <row r="33" spans="1:25" ht="15">
      <c r="A33" s="200"/>
      <c r="B33" s="200">
        <v>14</v>
      </c>
      <c r="C33" s="200" t="s">
        <v>462</v>
      </c>
      <c r="D33" s="199">
        <f>BANKWISE!E318</f>
        <v>1111.7760075149067</v>
      </c>
      <c r="E33" s="199">
        <f>BANKWISE!F318</f>
        <v>10913.389679086913</v>
      </c>
      <c r="F33" s="199">
        <f>BANKWISE!G318</f>
        <v>12025.165686601818</v>
      </c>
      <c r="G33" s="199">
        <f>BANKWISE!H318</f>
        <v>1321.0292812221128</v>
      </c>
      <c r="H33" s="199">
        <f>BANKWISE!I318</f>
        <v>1237.3302973274351</v>
      </c>
      <c r="I33" s="199">
        <f>BANKWISE!J318</f>
        <v>14583.525265151366</v>
      </c>
      <c r="J33" s="199">
        <f>BANKWISE!K318</f>
        <v>173002.30796283123</v>
      </c>
      <c r="K33" s="199">
        <f>BANKWISE!L318</f>
        <v>46615.17010873815</v>
      </c>
      <c r="L33" s="199">
        <f>BANKWISE!M318</f>
        <v>71194.07798425463</v>
      </c>
      <c r="M33" s="199">
        <f>BANKWISE!N318</f>
        <v>105096.01988151873</v>
      </c>
      <c r="N33" s="199">
        <f>BANKWISE!O318</f>
        <v>487.6575</v>
      </c>
      <c r="O33" s="199">
        <f>BANKWISE!P318</f>
        <v>3009.42</v>
      </c>
      <c r="P33" s="199">
        <f>BANKWISE!Q318</f>
        <v>6173.035714285714</v>
      </c>
      <c r="Q33" s="199" t="e">
        <f>BANKWISE!#REF!</f>
        <v>#REF!</v>
      </c>
      <c r="R33" s="199" t="e">
        <f t="shared" si="0"/>
        <v>#REF!</v>
      </c>
      <c r="T33" s="199">
        <v>22906.4569049218</v>
      </c>
      <c r="U33" s="199">
        <v>15795.1157916633</v>
      </c>
      <c r="V33" s="199">
        <v>38700.5726965852</v>
      </c>
      <c r="W33" s="199">
        <v>54369.957823135</v>
      </c>
      <c r="X33" s="199">
        <v>474577.756880166</v>
      </c>
      <c r="Y33" s="199">
        <v>567649.287399886</v>
      </c>
    </row>
    <row r="34" spans="1:25" ht="15">
      <c r="A34" s="200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199">
        <f t="shared" si="0"/>
        <v>0</v>
      </c>
      <c r="T34" s="200"/>
      <c r="U34" s="200"/>
      <c r="V34" s="201"/>
      <c r="W34" s="200"/>
      <c r="X34" s="200"/>
      <c r="Y34" s="201"/>
    </row>
    <row r="35" spans="1:25" ht="15">
      <c r="A35" s="200"/>
      <c r="B35" s="200">
        <v>15</v>
      </c>
      <c r="C35" s="200" t="s">
        <v>463</v>
      </c>
      <c r="D35" s="201">
        <f>BANKWISE!E327</f>
        <v>0</v>
      </c>
      <c r="E35" s="201">
        <f>BANKWISE!F327</f>
        <v>2456.7871483823023</v>
      </c>
      <c r="F35" s="201">
        <f>BANKWISE!G327</f>
        <v>2456.7871483823023</v>
      </c>
      <c r="G35" s="201">
        <f>BANKWISE!H327</f>
        <v>297.3858586725308</v>
      </c>
      <c r="H35" s="201">
        <f>BANKWISE!I327</f>
        <v>278.5438128909945</v>
      </c>
      <c r="I35" s="201">
        <f>BANKWISE!J327</f>
        <v>3032.7168199458274</v>
      </c>
      <c r="J35" s="201">
        <f>BANKWISE!K327</f>
        <v>97264.5010058262</v>
      </c>
      <c r="K35" s="201">
        <f>BANKWISE!L327</f>
        <v>27284.164019553544</v>
      </c>
      <c r="L35" s="201">
        <f>BANKWISE!M327</f>
        <v>41670.35959349996</v>
      </c>
      <c r="M35" s="201">
        <f>BANKWISE!N327</f>
        <v>61513.387971357086</v>
      </c>
      <c r="N35" s="201">
        <f>BANKWISE!O327</f>
        <v>84.0775</v>
      </c>
      <c r="O35" s="201">
        <f>BANKWISE!P327</f>
        <v>517.14</v>
      </c>
      <c r="P35" s="201">
        <f>BANKWISE!Q327</f>
        <v>1073.7723214285716</v>
      </c>
      <c r="Q35" s="201" t="e">
        <f>BANKWISE!#REF!</f>
        <v>#REF!</v>
      </c>
      <c r="R35" s="199" t="e">
        <f t="shared" si="0"/>
        <v>#REF!</v>
      </c>
      <c r="T35" s="201">
        <v>20718.7882425707</v>
      </c>
      <c r="U35" s="201">
        <v>22369.4903576486</v>
      </c>
      <c r="V35" s="201">
        <v>43088.2786002193</v>
      </c>
      <c r="W35" s="201">
        <v>33971.9153215545</v>
      </c>
      <c r="X35" s="201">
        <v>267295.93333956</v>
      </c>
      <c r="Y35" s="201">
        <v>344356.127261333</v>
      </c>
    </row>
    <row r="36" spans="1:25" ht="15">
      <c r="A36" s="200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199">
        <f t="shared" si="0"/>
        <v>0</v>
      </c>
      <c r="T36" s="200"/>
      <c r="U36" s="200"/>
      <c r="V36" s="201"/>
      <c r="W36" s="200"/>
      <c r="X36" s="200"/>
      <c r="Y36" s="201"/>
    </row>
    <row r="37" spans="1:25" ht="15">
      <c r="A37" s="200"/>
      <c r="B37" s="200">
        <v>16</v>
      </c>
      <c r="C37" s="200" t="s">
        <v>464</v>
      </c>
      <c r="D37" s="199">
        <f>BANKWISE!E355</f>
        <v>21187.540946458805</v>
      </c>
      <c r="E37" s="199">
        <f>BANKWISE!F355</f>
        <v>35014.271698278404</v>
      </c>
      <c r="F37" s="199">
        <f>BANKWISE!G355</f>
        <v>56201.81264473721</v>
      </c>
      <c r="G37" s="199">
        <f>BANKWISE!H355</f>
        <v>4238.360356794526</v>
      </c>
      <c r="H37" s="199">
        <f>BANKWISE!I355</f>
        <v>3949.8224369423615</v>
      </c>
      <c r="I37" s="199">
        <f>BANKWISE!J355</f>
        <v>64389.99543847409</v>
      </c>
      <c r="J37" s="199">
        <f>BANKWISE!K355</f>
        <v>650647.1774411442</v>
      </c>
      <c r="K37" s="199">
        <f>BANKWISE!L355</f>
        <v>66935.91227165573</v>
      </c>
      <c r="L37" s="199">
        <f>BANKWISE!M355</f>
        <v>103983.39328761965</v>
      </c>
      <c r="M37" s="199">
        <f>BANKWISE!N355</f>
        <v>157910.05675791472</v>
      </c>
      <c r="N37" s="199">
        <f>BANKWISE!O355</f>
        <v>995.3875</v>
      </c>
      <c r="O37" s="199">
        <f>BANKWISE!P355</f>
        <v>6005</v>
      </c>
      <c r="P37" s="199">
        <f>BANKWISE!Q355</f>
        <v>12352.46875</v>
      </c>
      <c r="Q37" s="199" t="e">
        <f>BANKWISE!#REF!</f>
        <v>#REF!</v>
      </c>
      <c r="R37" s="199" t="e">
        <f t="shared" si="0"/>
        <v>#REF!</v>
      </c>
      <c r="T37" s="199">
        <v>109188.877622083</v>
      </c>
      <c r="U37" s="199">
        <v>72913.4849121656</v>
      </c>
      <c r="V37" s="199">
        <v>182102.362534248</v>
      </c>
      <c r="W37" s="199">
        <v>171082.423999553</v>
      </c>
      <c r="X37" s="199">
        <v>580647.45077922</v>
      </c>
      <c r="Y37" s="199">
        <v>933831.237313022</v>
      </c>
    </row>
    <row r="38" spans="1:25" ht="15">
      <c r="A38" s="200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199">
        <f t="shared" si="0"/>
        <v>0</v>
      </c>
      <c r="T38" s="200"/>
      <c r="U38" s="200"/>
      <c r="V38" s="201"/>
      <c r="W38" s="200"/>
      <c r="X38" s="200"/>
      <c r="Y38" s="201"/>
    </row>
    <row r="39" spans="1:25" ht="30">
      <c r="A39" s="200"/>
      <c r="B39" s="200">
        <v>17</v>
      </c>
      <c r="C39" s="200" t="s">
        <v>465</v>
      </c>
      <c r="D39" s="201">
        <f>BANKWISE!E368</f>
        <v>0</v>
      </c>
      <c r="E39" s="201">
        <f>BANKWISE!F368</f>
        <v>0</v>
      </c>
      <c r="F39" s="201">
        <f>BANKWISE!G368</f>
        <v>0</v>
      </c>
      <c r="G39" s="201">
        <f>BANKWISE!H368</f>
        <v>0</v>
      </c>
      <c r="H39" s="201">
        <f>BANKWISE!I368</f>
        <v>0</v>
      </c>
      <c r="I39" s="201">
        <f>BANKWISE!J368</f>
        <v>0</v>
      </c>
      <c r="J39" s="201">
        <f>BANKWISE!K368</f>
        <v>676127.3843119019</v>
      </c>
      <c r="K39" s="201">
        <f>BANKWISE!L368</f>
        <v>6291.774008955322</v>
      </c>
      <c r="L39" s="201">
        <f>BANKWISE!M368</f>
        <v>9609.254850040854</v>
      </c>
      <c r="M39" s="201">
        <f>BANKWISE!N368</f>
        <v>14185.09049291745</v>
      </c>
      <c r="N39" s="201">
        <f>BANKWISE!O368</f>
        <v>173.7575</v>
      </c>
      <c r="O39" s="201">
        <f>BANKWISE!P368</f>
        <v>1062</v>
      </c>
      <c r="P39" s="201">
        <f>BANKWISE!Q368</f>
        <v>2211</v>
      </c>
      <c r="Q39" s="201" t="e">
        <f>BANKWISE!#REF!</f>
        <v>#REF!</v>
      </c>
      <c r="R39" s="199" t="e">
        <f aca="true" t="shared" si="1" ref="R39:R70">SUM(I39:Q39)</f>
        <v>#REF!</v>
      </c>
      <c r="T39" s="201">
        <v>0</v>
      </c>
      <c r="U39" s="201">
        <v>0</v>
      </c>
      <c r="V39" s="201">
        <v>0</v>
      </c>
      <c r="W39" s="201">
        <v>156937.045489328</v>
      </c>
      <c r="X39" s="201">
        <v>50828.6150208578</v>
      </c>
      <c r="Y39" s="201">
        <v>207765.660510185</v>
      </c>
    </row>
    <row r="40" spans="1:25" ht="15">
      <c r="A40" s="200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199">
        <f t="shared" si="1"/>
        <v>0</v>
      </c>
      <c r="T40" s="200"/>
      <c r="U40" s="200"/>
      <c r="V40" s="201"/>
      <c r="W40" s="200"/>
      <c r="X40" s="200"/>
      <c r="Y40" s="201"/>
    </row>
    <row r="41" spans="1:25" ht="15">
      <c r="A41" s="200"/>
      <c r="B41" s="200">
        <v>18</v>
      </c>
      <c r="C41" s="200" t="s">
        <v>466</v>
      </c>
      <c r="D41" s="210">
        <f>BANKWISE!E372</f>
        <v>0</v>
      </c>
      <c r="E41" s="210">
        <f>BANKWISE!F372</f>
        <v>0</v>
      </c>
      <c r="F41" s="210">
        <f>BANKWISE!G372</f>
        <v>0</v>
      </c>
      <c r="G41" s="210">
        <f>BANKWISE!H372</f>
        <v>0</v>
      </c>
      <c r="H41" s="210">
        <f>BANKWISE!I372</f>
        <v>0</v>
      </c>
      <c r="I41" s="210">
        <f>BANKWISE!J372</f>
        <v>0</v>
      </c>
      <c r="J41" s="210">
        <f>BANKWISE!K372</f>
        <v>15822.508374273353</v>
      </c>
      <c r="K41" s="210">
        <f>BANKWISE!L372</f>
        <v>4137.727157190248</v>
      </c>
      <c r="L41" s="210">
        <f>BANKWISE!M372</f>
        <v>6319.437840072379</v>
      </c>
      <c r="M41" s="210">
        <f>BANKWISE!N372</f>
        <v>9328.693954392558</v>
      </c>
      <c r="N41" s="210">
        <f>BANKWISE!O372</f>
        <v>44.84</v>
      </c>
      <c r="O41" s="210">
        <f>BANKWISE!P372</f>
        <v>277.14</v>
      </c>
      <c r="P41" s="210">
        <f>BANKWISE!Q372</f>
        <v>572.6785714285714</v>
      </c>
      <c r="Q41" s="210" t="e">
        <f>BANKWISE!#REF!</f>
        <v>#REF!</v>
      </c>
      <c r="R41" s="199" t="e">
        <f t="shared" si="1"/>
        <v>#REF!</v>
      </c>
      <c r="T41" s="210">
        <v>0</v>
      </c>
      <c r="U41" s="210">
        <v>0</v>
      </c>
      <c r="V41" s="201">
        <v>0</v>
      </c>
      <c r="W41" s="210">
        <v>3669.77397030692</v>
      </c>
      <c r="X41" s="210">
        <v>31429.3790362322</v>
      </c>
      <c r="Y41" s="201">
        <v>35099.1530065391</v>
      </c>
    </row>
    <row r="42" spans="1:25" ht="15">
      <c r="A42" s="200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199">
        <f t="shared" si="1"/>
        <v>0</v>
      </c>
      <c r="T42" s="200"/>
      <c r="U42" s="200"/>
      <c r="V42" s="201"/>
      <c r="W42" s="200"/>
      <c r="X42" s="200"/>
      <c r="Y42" s="201"/>
    </row>
    <row r="43" spans="1:25" ht="15">
      <c r="A43" s="200"/>
      <c r="B43" s="200">
        <v>19</v>
      </c>
      <c r="C43" s="200" t="s">
        <v>467</v>
      </c>
      <c r="D43" s="199">
        <f>BANKWISE!E383</f>
        <v>0</v>
      </c>
      <c r="E43" s="199">
        <f>BANKWISE!F383</f>
        <v>0</v>
      </c>
      <c r="F43" s="199">
        <f>BANKWISE!G383</f>
        <v>0</v>
      </c>
      <c r="G43" s="199">
        <f>BANKWISE!H383</f>
        <v>0</v>
      </c>
      <c r="H43" s="199">
        <f>BANKWISE!I383</f>
        <v>0</v>
      </c>
      <c r="I43" s="199">
        <f>BANKWISE!J383</f>
        <v>0</v>
      </c>
      <c r="J43" s="199">
        <f>BANKWISE!K383</f>
        <v>834343.2245934244</v>
      </c>
      <c r="K43" s="199">
        <f>BANKWISE!L383</f>
        <v>56164.28771838701</v>
      </c>
      <c r="L43" s="199">
        <f>BANKWISE!M383</f>
        <v>85778.18487899106</v>
      </c>
      <c r="M43" s="199">
        <f>BANKWISE!N383</f>
        <v>126624.93958327253</v>
      </c>
      <c r="N43" s="199">
        <f>BANKWISE!O383</f>
        <v>123.315</v>
      </c>
      <c r="O43" s="199">
        <f>BANKWISE!P383</f>
        <v>757.14</v>
      </c>
      <c r="P43" s="199">
        <f>BANKWISE!Q383</f>
        <v>1574.8660714285716</v>
      </c>
      <c r="Q43" s="199" t="e">
        <f>BANKWISE!#REF!</f>
        <v>#REF!</v>
      </c>
      <c r="R43" s="199" t="e">
        <f t="shared" si="1"/>
        <v>#REF!</v>
      </c>
      <c r="T43" s="199">
        <v>0</v>
      </c>
      <c r="U43" s="199">
        <v>0</v>
      </c>
      <c r="V43" s="199">
        <v>0</v>
      </c>
      <c r="W43" s="199">
        <v>193633.641321619</v>
      </c>
      <c r="X43" s="199">
        <v>429649.629454456</v>
      </c>
      <c r="Y43" s="199">
        <v>623284.270776075</v>
      </c>
    </row>
    <row r="44" spans="1:25" ht="15">
      <c r="A44" s="200"/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199">
        <f t="shared" si="1"/>
        <v>0</v>
      </c>
      <c r="T44" s="200"/>
      <c r="U44" s="200"/>
      <c r="V44" s="201"/>
      <c r="W44" s="200"/>
      <c r="X44" s="200"/>
      <c r="Y44" s="201"/>
    </row>
    <row r="45" spans="1:25" ht="15">
      <c r="A45" s="200"/>
      <c r="B45" s="200">
        <v>20</v>
      </c>
      <c r="C45" s="200" t="s">
        <v>468</v>
      </c>
      <c r="D45" s="201">
        <f>BANKWISE!E410</f>
        <v>31692.57914541471</v>
      </c>
      <c r="E45" s="201">
        <f>BANKWISE!F410</f>
        <v>292698.83663021406</v>
      </c>
      <c r="F45" s="201">
        <f>BANKWISE!G410</f>
        <v>324391.41577562876</v>
      </c>
      <c r="G45" s="201">
        <f>BANKWISE!H410</f>
        <v>35430.21418076142</v>
      </c>
      <c r="H45" s="201">
        <f>BANKWISE!I410</f>
        <v>33166.39419966523</v>
      </c>
      <c r="I45" s="201">
        <f>BANKWISE!J410</f>
        <v>392988.0241560554</v>
      </c>
      <c r="J45" s="201">
        <f>BANKWISE!K410</f>
        <v>1469116.1267097602</v>
      </c>
      <c r="K45" s="201">
        <f>BANKWISE!L410</f>
        <v>95140.18069273348</v>
      </c>
      <c r="L45" s="201">
        <f>BANKWISE!M410</f>
        <v>149668.13051253842</v>
      </c>
      <c r="M45" s="201">
        <f>BANKWISE!N410</f>
        <v>216335.71647089004</v>
      </c>
      <c r="N45" s="201">
        <f>BANKWISE!O410</f>
        <v>989.625</v>
      </c>
      <c r="O45" s="201">
        <f>BANKWISE!P410</f>
        <v>5908</v>
      </c>
      <c r="P45" s="201">
        <f>BANKWISE!Q410</f>
        <v>12393.5625</v>
      </c>
      <c r="Q45" s="201" t="e">
        <f>BANKWISE!#REF!</f>
        <v>#REF!</v>
      </c>
      <c r="R45" s="199" t="e">
        <f t="shared" si="1"/>
        <v>#REF!</v>
      </c>
      <c r="T45" s="201">
        <v>35027.4260234573</v>
      </c>
      <c r="U45" s="201">
        <v>360571.834826469</v>
      </c>
      <c r="V45" s="201">
        <v>395599.260849927</v>
      </c>
      <c r="W45" s="201">
        <v>360951.045798894</v>
      </c>
      <c r="X45" s="201">
        <v>869136.504193611</v>
      </c>
      <c r="Y45" s="201">
        <v>1625686.81084243</v>
      </c>
    </row>
    <row r="46" spans="1:25" ht="15">
      <c r="A46" s="200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199">
        <f t="shared" si="1"/>
        <v>0</v>
      </c>
      <c r="T46" s="200"/>
      <c r="U46" s="200"/>
      <c r="V46" s="201"/>
      <c r="W46" s="200"/>
      <c r="X46" s="200"/>
      <c r="Y46" s="201"/>
    </row>
    <row r="47" spans="1:25" ht="15">
      <c r="A47" s="200"/>
      <c r="B47" s="200">
        <v>21</v>
      </c>
      <c r="C47" s="200" t="s">
        <v>469</v>
      </c>
      <c r="D47" s="201">
        <f>BANKWISE!E420</f>
        <v>0</v>
      </c>
      <c r="E47" s="201">
        <f>BANKWISE!F420</f>
        <v>7834.5032899969465</v>
      </c>
      <c r="F47" s="201">
        <f>BANKWISE!G420</f>
        <v>7834.5032899969465</v>
      </c>
      <c r="G47" s="201">
        <f>BANKWISE!H420</f>
        <v>948.3403923301364</v>
      </c>
      <c r="H47" s="201">
        <f>BANKWISE!I420</f>
        <v>888.254572619251</v>
      </c>
      <c r="I47" s="201">
        <f>BANKWISE!J420</f>
        <v>9671.098254946333</v>
      </c>
      <c r="J47" s="201">
        <f>BANKWISE!K420</f>
        <v>34359.80478292716</v>
      </c>
      <c r="K47" s="201">
        <f>BANKWISE!L420</f>
        <v>22859.975784794482</v>
      </c>
      <c r="L47" s="201">
        <f>BANKWISE!M420</f>
        <v>34913.41756223157</v>
      </c>
      <c r="M47" s="201">
        <f>BANKWISE!N420</f>
        <v>51538.85449662756</v>
      </c>
      <c r="N47" s="201">
        <f>BANKWISE!O420</f>
        <v>84.0775</v>
      </c>
      <c r="O47" s="201">
        <f>BANKWISE!P420</f>
        <v>517.14</v>
      </c>
      <c r="P47" s="201">
        <f>BANKWISE!Q420</f>
        <v>1073.7723214285716</v>
      </c>
      <c r="Q47" s="201" t="e">
        <f>BANKWISE!#REF!</f>
        <v>#REF!</v>
      </c>
      <c r="R47" s="199" t="e">
        <f t="shared" si="1"/>
        <v>#REF!</v>
      </c>
      <c r="T47" s="201">
        <v>41437.5764851414</v>
      </c>
      <c r="U47" s="201">
        <v>43347.1899954706</v>
      </c>
      <c r="V47" s="201">
        <v>84784.7664806121</v>
      </c>
      <c r="W47" s="201">
        <v>9394.98704009812</v>
      </c>
      <c r="X47" s="201">
        <v>260305.754223448</v>
      </c>
      <c r="Y47" s="201">
        <v>354485.507744158</v>
      </c>
    </row>
    <row r="48" spans="1:25" ht="15">
      <c r="A48" s="200"/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199">
        <f t="shared" si="1"/>
        <v>0</v>
      </c>
      <c r="T48" s="200"/>
      <c r="U48" s="200"/>
      <c r="V48" s="201"/>
      <c r="W48" s="200"/>
      <c r="X48" s="200"/>
      <c r="Y48" s="201"/>
    </row>
    <row r="49" spans="1:25" ht="15">
      <c r="A49" s="200"/>
      <c r="B49" s="200">
        <v>22</v>
      </c>
      <c r="C49" s="200" t="s">
        <v>470</v>
      </c>
      <c r="D49" s="199">
        <f>BANKWISE!E438</f>
        <v>1035.031963397938</v>
      </c>
      <c r="E49" s="199">
        <f>BANKWISE!F438</f>
        <v>14431.57889951766</v>
      </c>
      <c r="F49" s="199">
        <f>BANKWISE!G438</f>
        <v>15466.610862915599</v>
      </c>
      <c r="G49" s="199">
        <f>BANKWISE!H438</f>
        <v>1746.8943070055475</v>
      </c>
      <c r="H49" s="199">
        <f>BANKWISE!I438</f>
        <v>1646.2129765111192</v>
      </c>
      <c r="I49" s="199">
        <f>BANKWISE!J438</f>
        <v>18859.718146432268</v>
      </c>
      <c r="J49" s="199">
        <f>BANKWISE!K438</f>
        <v>40276.28092806628</v>
      </c>
      <c r="K49" s="199">
        <f>BANKWISE!L438</f>
        <v>29270.689392433647</v>
      </c>
      <c r="L49" s="199">
        <f>BANKWISE!M438</f>
        <v>44704.32561753502</v>
      </c>
      <c r="M49" s="199">
        <f>BANKWISE!N438</f>
        <v>65992.09972112312</v>
      </c>
      <c r="N49" s="199">
        <f>BANKWISE!O438</f>
        <v>325.105</v>
      </c>
      <c r="O49" s="199">
        <f>BANKWISE!P438</f>
        <v>1994.28</v>
      </c>
      <c r="P49" s="199">
        <f>BANKWISE!Q438</f>
        <v>4151.919642857143</v>
      </c>
      <c r="Q49" s="199" t="e">
        <f>BANKWISE!#REF!</f>
        <v>#REF!</v>
      </c>
      <c r="R49" s="199" t="e">
        <f t="shared" si="1"/>
        <v>#REF!</v>
      </c>
      <c r="T49" s="199">
        <v>43060.8273879906</v>
      </c>
      <c r="U49" s="199">
        <v>27885.9789097841</v>
      </c>
      <c r="V49" s="199">
        <v>70946.8062977747</v>
      </c>
      <c r="W49" s="199">
        <v>246148.446964728</v>
      </c>
      <c r="X49" s="199">
        <v>432623.868453902</v>
      </c>
      <c r="Y49" s="199">
        <v>749719.121716405</v>
      </c>
    </row>
    <row r="50" spans="1:25" ht="15">
      <c r="A50" s="200"/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199">
        <f t="shared" si="1"/>
        <v>0</v>
      </c>
      <c r="T50" s="200"/>
      <c r="U50" s="200"/>
      <c r="V50" s="201"/>
      <c r="W50" s="200"/>
      <c r="X50" s="200"/>
      <c r="Y50" s="201"/>
    </row>
    <row r="51" spans="1:25" ht="15">
      <c r="A51" s="200"/>
      <c r="B51" s="200">
        <v>23</v>
      </c>
      <c r="C51" s="200" t="s">
        <v>471</v>
      </c>
      <c r="D51" s="199">
        <f>BANKWISE!E447</f>
        <v>0</v>
      </c>
      <c r="E51" s="199">
        <f>BANKWISE!F447</f>
        <v>0</v>
      </c>
      <c r="F51" s="199">
        <f>BANKWISE!G447</f>
        <v>0</v>
      </c>
      <c r="G51" s="199">
        <f>BANKWISE!H447</f>
        <v>0</v>
      </c>
      <c r="H51" s="199">
        <f>BANKWISE!I447</f>
        <v>0</v>
      </c>
      <c r="I51" s="199">
        <f>BANKWISE!J447</f>
        <v>0</v>
      </c>
      <c r="J51" s="199">
        <f>BANKWISE!K447</f>
        <v>10367.93457987977</v>
      </c>
      <c r="K51" s="199">
        <f>BANKWISE!L447</f>
        <v>7729.594081908084</v>
      </c>
      <c r="L51" s="199">
        <f>BANKWISE!M447</f>
        <v>11805.19823418689</v>
      </c>
      <c r="M51" s="199">
        <f>BANKWISE!N447</f>
        <v>17426.721202847315</v>
      </c>
      <c r="N51" s="199">
        <f>BANKWISE!O447</f>
        <v>84.0775</v>
      </c>
      <c r="O51" s="199">
        <f>BANKWISE!P447</f>
        <v>517.14</v>
      </c>
      <c r="P51" s="199">
        <f>BANKWISE!Q447</f>
        <v>1067.6785714285716</v>
      </c>
      <c r="Q51" s="199" t="e">
        <f>BANKWISE!#REF!</f>
        <v>#REF!</v>
      </c>
      <c r="R51" s="199" t="e">
        <f t="shared" si="1"/>
        <v>#REF!</v>
      </c>
      <c r="T51" s="199">
        <v>0</v>
      </c>
      <c r="U51" s="199">
        <v>0</v>
      </c>
      <c r="V51" s="199">
        <v>0</v>
      </c>
      <c r="W51" s="199">
        <v>2403.67412290658</v>
      </c>
      <c r="X51" s="199">
        <v>58712.5088164281</v>
      </c>
      <c r="Y51" s="199">
        <v>61117.1829393347</v>
      </c>
    </row>
    <row r="52" spans="1:25" ht="15">
      <c r="A52" s="200"/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199">
        <f t="shared" si="1"/>
        <v>0</v>
      </c>
      <c r="T52" s="200"/>
      <c r="U52" s="200"/>
      <c r="V52" s="201"/>
      <c r="W52" s="200"/>
      <c r="X52" s="200"/>
      <c r="Y52" s="201"/>
    </row>
    <row r="53" spans="1:25" ht="15">
      <c r="A53" s="200"/>
      <c r="B53" s="200">
        <v>24</v>
      </c>
      <c r="C53" s="200" t="s">
        <v>472</v>
      </c>
      <c r="D53" s="201">
        <f>BANKWISE!E460</f>
        <v>0</v>
      </c>
      <c r="E53" s="201">
        <f>BANKWISE!F460</f>
        <v>13726.876603960769</v>
      </c>
      <c r="F53" s="201">
        <f>BANKWISE!G460</f>
        <v>13726.876603960769</v>
      </c>
      <c r="G53" s="201">
        <f>BANKWISE!H460</f>
        <v>1661.5924535622473</v>
      </c>
      <c r="H53" s="201">
        <f>BANKWISE!I460</f>
        <v>1556.3157560755994</v>
      </c>
      <c r="I53" s="201">
        <f>BANKWISE!J460</f>
        <v>16944.784813598617</v>
      </c>
      <c r="J53" s="201">
        <f>BANKWISE!K460</f>
        <v>35733.73971262903</v>
      </c>
      <c r="K53" s="201">
        <f>BANKWISE!L460</f>
        <v>12548.581941588025</v>
      </c>
      <c r="L53" s="201">
        <f>BANKWISE!M460</f>
        <v>19165.10696533444</v>
      </c>
      <c r="M53" s="201">
        <f>BANKWISE!N460</f>
        <v>28291.348377398455</v>
      </c>
      <c r="N53" s="201">
        <f>BANKWISE!O460</f>
        <v>168.155</v>
      </c>
      <c r="O53" s="201">
        <f>BANKWISE!P460</f>
        <v>1034.28</v>
      </c>
      <c r="P53" s="201">
        <f>BANKWISE!Q460</f>
        <v>2147.544642857143</v>
      </c>
      <c r="Q53" s="201" t="e">
        <f>BANKWISE!#REF!</f>
        <v>#REF!</v>
      </c>
      <c r="R53" s="199" t="e">
        <f t="shared" si="1"/>
        <v>#REF!</v>
      </c>
      <c r="T53" s="201">
        <v>20718.7882425707</v>
      </c>
      <c r="U53" s="201">
        <v>19054.0972519376</v>
      </c>
      <c r="V53" s="201">
        <v>39772.8854945083</v>
      </c>
      <c r="W53" s="201">
        <v>9711.64894392834</v>
      </c>
      <c r="X53" s="201">
        <v>147441.057683026</v>
      </c>
      <c r="Y53" s="201">
        <v>196925.592121463</v>
      </c>
    </row>
    <row r="54" spans="1:25" ht="15">
      <c r="A54" s="200"/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199">
        <f t="shared" si="1"/>
        <v>0</v>
      </c>
      <c r="T54" s="200"/>
      <c r="U54" s="200"/>
      <c r="V54" s="201"/>
      <c r="W54" s="200"/>
      <c r="X54" s="200"/>
      <c r="Y54" s="201"/>
    </row>
    <row r="55" spans="1:25" ht="15">
      <c r="A55" s="200"/>
      <c r="B55" s="200">
        <v>25</v>
      </c>
      <c r="C55" s="200" t="s">
        <v>473</v>
      </c>
      <c r="D55" s="211">
        <f>BANKWISE!E464</f>
        <v>67583.5346193998</v>
      </c>
      <c r="E55" s="211">
        <f>BANKWISE!F464</f>
        <v>0</v>
      </c>
      <c r="F55" s="211">
        <f>BANKWISE!G464</f>
        <v>67583.5346193998</v>
      </c>
      <c r="G55" s="211">
        <f>BANKWISE!H464</f>
        <v>0</v>
      </c>
      <c r="H55" s="211">
        <f>BANKWISE!I464</f>
        <v>0</v>
      </c>
      <c r="I55" s="211">
        <f>BANKWISE!J464</f>
        <v>67583.5346193998</v>
      </c>
      <c r="J55" s="211">
        <f>BANKWISE!K464</f>
        <v>46058.97884530145</v>
      </c>
      <c r="K55" s="211">
        <f>BANKWISE!L464</f>
        <v>13866.524537779891</v>
      </c>
      <c r="L55" s="211">
        <f>BANKWISE!M464</f>
        <v>21176.939355104623</v>
      </c>
      <c r="M55" s="211">
        <f>BANKWISE!N464</f>
        <v>31257.839247847503</v>
      </c>
      <c r="N55" s="211">
        <f>BANKWISE!O464</f>
        <v>44.84</v>
      </c>
      <c r="O55" s="211">
        <f>BANKWISE!P464</f>
        <v>277.14</v>
      </c>
      <c r="P55" s="211">
        <f>BANKWISE!Q464</f>
        <v>572.6785714285714</v>
      </c>
      <c r="Q55" s="211" t="e">
        <f>BANKWISE!#REF!</f>
        <v>#REF!</v>
      </c>
      <c r="R55" s="199" t="e">
        <f t="shared" si="1"/>
        <v>#REF!</v>
      </c>
      <c r="T55" s="211">
        <v>75927.7626846385</v>
      </c>
      <c r="U55" s="211">
        <v>0</v>
      </c>
      <c r="V55" s="211">
        <v>75927.7626846385</v>
      </c>
      <c r="W55" s="211">
        <v>10682.5723270483</v>
      </c>
      <c r="X55" s="211">
        <v>70495.8034457544</v>
      </c>
      <c r="Y55" s="211">
        <v>157107.138457441</v>
      </c>
    </row>
    <row r="56" spans="1:25" ht="15">
      <c r="A56" s="200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199">
        <f t="shared" si="1"/>
        <v>0</v>
      </c>
      <c r="T56" s="200"/>
      <c r="U56" s="200"/>
      <c r="V56" s="201"/>
      <c r="W56" s="200"/>
      <c r="X56" s="200"/>
      <c r="Y56" s="201"/>
    </row>
    <row r="57" spans="1:25" ht="15">
      <c r="A57" s="200"/>
      <c r="B57" s="200">
        <v>26</v>
      </c>
      <c r="C57" s="200" t="s">
        <v>474</v>
      </c>
      <c r="D57" s="201">
        <f>BANKWISE!E473</f>
        <v>0</v>
      </c>
      <c r="E57" s="201">
        <f>BANKWISE!F473</f>
        <v>0</v>
      </c>
      <c r="F57" s="201">
        <f>BANKWISE!G473</f>
        <v>0</v>
      </c>
      <c r="G57" s="201">
        <f>BANKWISE!H473</f>
        <v>0</v>
      </c>
      <c r="H57" s="201">
        <f>BANKWISE!I473</f>
        <v>0</v>
      </c>
      <c r="I57" s="201">
        <f>BANKWISE!J473</f>
        <v>0</v>
      </c>
      <c r="J57" s="201">
        <f>BANKWISE!K473</f>
        <v>1045.7665529212716</v>
      </c>
      <c r="K57" s="201">
        <f>BANKWISE!L473</f>
        <v>799.2595162383997</v>
      </c>
      <c r="L57" s="201">
        <f>BANKWISE!M473</f>
        <v>1220.6872611641013</v>
      </c>
      <c r="M57" s="201">
        <f>BANKWISE!N473</f>
        <v>1801.966909337483</v>
      </c>
      <c r="N57" s="201">
        <f>BANKWISE!O473</f>
        <v>84.0775</v>
      </c>
      <c r="O57" s="201">
        <f>BANKWISE!P473</f>
        <v>515</v>
      </c>
      <c r="P57" s="201">
        <f>BANKWISE!Q473</f>
        <v>1045</v>
      </c>
      <c r="Q57" s="201" t="e">
        <f>BANKWISE!#REF!</f>
        <v>#REF!</v>
      </c>
      <c r="R57" s="199" t="e">
        <f t="shared" si="1"/>
        <v>#REF!</v>
      </c>
      <c r="T57" s="201">
        <v>0</v>
      </c>
      <c r="U57" s="201">
        <v>0</v>
      </c>
      <c r="V57" s="201">
        <v>0</v>
      </c>
      <c r="W57" s="201">
        <v>241.548576</v>
      </c>
      <c r="X57" s="201">
        <v>6072.02144</v>
      </c>
      <c r="Y57" s="201">
        <v>6313.570016</v>
      </c>
    </row>
    <row r="58" spans="1:25" ht="15">
      <c r="A58" s="200"/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199">
        <f t="shared" si="1"/>
        <v>0</v>
      </c>
      <c r="T58" s="200"/>
      <c r="U58" s="200"/>
      <c r="V58" s="201"/>
      <c r="W58" s="200"/>
      <c r="X58" s="200"/>
      <c r="Y58" s="201"/>
    </row>
    <row r="59" spans="1:25" ht="15">
      <c r="A59" s="200"/>
      <c r="B59" s="200">
        <v>27</v>
      </c>
      <c r="C59" s="200" t="s">
        <v>475</v>
      </c>
      <c r="D59" s="199">
        <f>BANKWISE!E484</f>
        <v>200</v>
      </c>
      <c r="E59" s="199">
        <f>BANKWISE!F484</f>
        <v>3144.833234066199</v>
      </c>
      <c r="F59" s="199">
        <f>BANKWISE!G484</f>
        <v>3344.833234066199</v>
      </c>
      <c r="G59" s="199">
        <f>BANKWISE!H484</f>
        <v>380.6715336778362</v>
      </c>
      <c r="H59" s="199">
        <f>BANKWISE!I484</f>
        <v>356.5525977697787</v>
      </c>
      <c r="I59" s="199">
        <f>BANKWISE!J484</f>
        <v>4082.057365513814</v>
      </c>
      <c r="J59" s="199">
        <f>BANKWISE!K484</f>
        <v>21967.93990767284</v>
      </c>
      <c r="K59" s="199">
        <f>BANKWISE!L484</f>
        <v>3569.476290025798</v>
      </c>
      <c r="L59" s="199">
        <f>BANKWISE!M484</f>
        <v>5451.563788403036</v>
      </c>
      <c r="M59" s="199">
        <f>BANKWISE!N484</f>
        <v>8047.546544785435</v>
      </c>
      <c r="N59" s="199">
        <f>BANKWISE!O484</f>
        <v>123.315</v>
      </c>
      <c r="O59" s="199">
        <f>BANKWISE!P484</f>
        <v>757.14</v>
      </c>
      <c r="P59" s="199">
        <f>BANKWISE!Q484</f>
        <v>1562.6785714285716</v>
      </c>
      <c r="Q59" s="199" t="e">
        <f>BANKWISE!#REF!</f>
        <v>#REF!</v>
      </c>
      <c r="R59" s="199" t="e">
        <f t="shared" si="1"/>
        <v>#REF!</v>
      </c>
      <c r="T59" s="199">
        <v>0</v>
      </c>
      <c r="U59" s="199">
        <v>3533.11132398809</v>
      </c>
      <c r="V59" s="199">
        <v>3533.11132398809</v>
      </c>
      <c r="W59" s="199">
        <v>5216.38134356171</v>
      </c>
      <c r="X59" s="199">
        <v>30908.4432289331</v>
      </c>
      <c r="Y59" s="199">
        <v>39656.9358964829</v>
      </c>
    </row>
    <row r="60" spans="1:25" ht="15">
      <c r="A60" s="200"/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199">
        <f t="shared" si="1"/>
        <v>0</v>
      </c>
      <c r="T60" s="200"/>
      <c r="U60" s="200"/>
      <c r="V60" s="201"/>
      <c r="W60" s="200"/>
      <c r="X60" s="200"/>
      <c r="Y60" s="201"/>
    </row>
    <row r="61" spans="1:25" ht="15">
      <c r="A61" s="200"/>
      <c r="B61" s="200">
        <v>28</v>
      </c>
      <c r="C61" s="200" t="s">
        <v>476</v>
      </c>
      <c r="D61" s="199">
        <f>BANKWISE!E536</f>
        <v>1081.9614596142292</v>
      </c>
      <c r="E61" s="199">
        <f>BANKWISE!F536</f>
        <v>3495.7455173763983</v>
      </c>
      <c r="F61" s="199">
        <f>BANKWISE!G536</f>
        <v>4577.7069769906275</v>
      </c>
      <c r="G61" s="199">
        <f>BANKWISE!H536</f>
        <v>423.148290673108</v>
      </c>
      <c r="H61" s="199">
        <f>BANKWISE!I536</f>
        <v>407.33807346630715</v>
      </c>
      <c r="I61" s="199">
        <f>BANKWISE!J536</f>
        <v>5408.193341130042</v>
      </c>
      <c r="J61" s="199">
        <f>BANKWISE!K536</f>
        <v>63553.39604393194</v>
      </c>
      <c r="K61" s="199">
        <f>BANKWISE!L536</f>
        <v>14976.56387890716</v>
      </c>
      <c r="L61" s="199">
        <f>BANKWISE!M536</f>
        <v>23635.520273331513</v>
      </c>
      <c r="M61" s="199">
        <f>BANKWISE!N536</f>
        <v>36890.5299272989</v>
      </c>
      <c r="N61" s="199">
        <f>BANKWISE!O536</f>
        <v>2409.570833333333</v>
      </c>
      <c r="O61" s="199">
        <f>BANKWISE!P536</f>
        <v>15378.666666666666</v>
      </c>
      <c r="P61" s="199">
        <f>BANKWISE!Q536</f>
        <v>31445</v>
      </c>
      <c r="Q61" s="199" t="e">
        <f>BANKWISE!#REF!</f>
        <v>#REF!</v>
      </c>
      <c r="R61" s="199" t="e">
        <f t="shared" si="1"/>
        <v>#REF!</v>
      </c>
      <c r="T61" s="199">
        <v>42529.5764851414</v>
      </c>
      <c r="U61" s="199">
        <v>43115.8096994743</v>
      </c>
      <c r="V61" s="199">
        <v>85645.3861846157</v>
      </c>
      <c r="W61" s="199">
        <v>15106.0014127972</v>
      </c>
      <c r="X61" s="199">
        <v>130724.627545131</v>
      </c>
      <c r="Y61" s="199">
        <v>231477.015142544</v>
      </c>
    </row>
    <row r="62" spans="1:25" ht="15">
      <c r="A62" s="200"/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199">
        <f t="shared" si="1"/>
        <v>0</v>
      </c>
      <c r="T62" s="200"/>
      <c r="U62" s="200"/>
      <c r="V62" s="201"/>
      <c r="W62" s="200"/>
      <c r="X62" s="200"/>
      <c r="Y62" s="201"/>
    </row>
    <row r="63" spans="1:25" ht="15">
      <c r="A63" s="200"/>
      <c r="B63" s="200">
        <v>29</v>
      </c>
      <c r="C63" s="200" t="s">
        <v>477</v>
      </c>
      <c r="D63" s="199">
        <f>BANKWISE!E565</f>
        <v>6.300394332996885</v>
      </c>
      <c r="E63" s="199">
        <f>BANKWISE!F565</f>
        <v>63.821719434532326</v>
      </c>
      <c r="F63" s="199">
        <f>BANKWISE!G565</f>
        <v>70.12211376752921</v>
      </c>
      <c r="G63" s="199">
        <f>BANKWISE!H565</f>
        <v>7.725405454230381</v>
      </c>
      <c r="H63" s="199">
        <f>BANKWISE!I565</f>
        <v>10.235932135292824</v>
      </c>
      <c r="I63" s="199">
        <f>BANKWISE!J565</f>
        <v>88.08345135705243</v>
      </c>
      <c r="J63" s="199">
        <f>BANKWISE!K565</f>
        <v>4614.866707449083</v>
      </c>
      <c r="K63" s="199">
        <f>BANKWISE!L565</f>
        <v>4437.149719480946</v>
      </c>
      <c r="L63" s="199">
        <f>BANKWISE!M565</f>
        <v>6776.73775338908</v>
      </c>
      <c r="M63" s="199">
        <f>BANKWISE!N565</f>
        <v>10003.755731193405</v>
      </c>
      <c r="N63" s="199">
        <f>BANKWISE!O565</f>
        <v>997.2275</v>
      </c>
      <c r="O63" s="199">
        <f>BANKWISE!P565</f>
        <v>6380</v>
      </c>
      <c r="P63" s="199">
        <f>BANKWISE!Q565</f>
        <v>12894</v>
      </c>
      <c r="Q63" s="199" t="e">
        <f>BANKWISE!#REF!</f>
        <v>#REF!</v>
      </c>
      <c r="R63" s="199" t="e">
        <f t="shared" si="1"/>
        <v>#REF!</v>
      </c>
      <c r="T63" s="199">
        <v>7</v>
      </c>
      <c r="U63" s="199">
        <v>66.0841664923151</v>
      </c>
      <c r="V63" s="199">
        <v>73.0841664923151</v>
      </c>
      <c r="W63" s="199">
        <v>1313.89199556608</v>
      </c>
      <c r="X63" s="199">
        <v>37498.1302429967</v>
      </c>
      <c r="Y63" s="199">
        <v>38885.1064050551</v>
      </c>
    </row>
    <row r="64" spans="1:25" ht="15">
      <c r="A64" s="200"/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199">
        <f t="shared" si="1"/>
        <v>0</v>
      </c>
      <c r="T64" s="200"/>
      <c r="U64" s="200"/>
      <c r="V64" s="201"/>
      <c r="W64" s="200"/>
      <c r="X64" s="200"/>
      <c r="Y64" s="201"/>
    </row>
    <row r="65" spans="1:25" ht="15">
      <c r="A65" s="200"/>
      <c r="B65" s="200">
        <v>30</v>
      </c>
      <c r="C65" s="200" t="s">
        <v>478</v>
      </c>
      <c r="D65" s="201">
        <f>BANKWISE!E575</f>
        <v>0</v>
      </c>
      <c r="E65" s="201">
        <f>BANKWISE!F575</f>
        <v>0</v>
      </c>
      <c r="F65" s="201">
        <f>BANKWISE!G575</f>
        <v>0</v>
      </c>
      <c r="G65" s="201">
        <f>BANKWISE!H575</f>
        <v>0</v>
      </c>
      <c r="H65" s="201">
        <f>BANKWISE!I575</f>
        <v>0</v>
      </c>
      <c r="I65" s="201">
        <f>BANKWISE!J575</f>
        <v>0</v>
      </c>
      <c r="J65" s="201">
        <f>BANKWISE!K575</f>
        <v>95733.0485808497</v>
      </c>
      <c r="K65" s="201">
        <f>BANKWISE!L575</f>
        <v>24907.873686872525</v>
      </c>
      <c r="L65" s="201">
        <f>BANKWISE!M575</f>
        <v>38041.11617631439</v>
      </c>
      <c r="M65" s="201">
        <f>BANKWISE!N575</f>
        <v>56155.93340313079</v>
      </c>
      <c r="N65" s="201">
        <f>BANKWISE!O575</f>
        <v>84.0775</v>
      </c>
      <c r="O65" s="201">
        <f>BANKWISE!P575</f>
        <v>517.14</v>
      </c>
      <c r="P65" s="201">
        <f>BANKWISE!Q575</f>
        <v>1067.6785714285716</v>
      </c>
      <c r="Q65" s="201" t="e">
        <f>BANKWISE!#REF!</f>
        <v>#REF!</v>
      </c>
      <c r="R65" s="199" t="e">
        <f t="shared" si="1"/>
        <v>#REF!</v>
      </c>
      <c r="T65" s="201">
        <v>0</v>
      </c>
      <c r="U65" s="201">
        <v>0</v>
      </c>
      <c r="V65" s="201">
        <v>0</v>
      </c>
      <c r="W65" s="201">
        <v>22446.2751577699</v>
      </c>
      <c r="X65" s="201">
        <v>192988.802537191</v>
      </c>
      <c r="Y65" s="201">
        <v>215435.077694961</v>
      </c>
    </row>
    <row r="66" spans="1:25" ht="15">
      <c r="A66" s="200"/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199">
        <f t="shared" si="1"/>
        <v>0</v>
      </c>
      <c r="T66" s="200"/>
      <c r="U66" s="200"/>
      <c r="V66" s="201"/>
      <c r="W66" s="200"/>
      <c r="X66" s="200"/>
      <c r="Y66" s="201"/>
    </row>
    <row r="67" spans="1:25" ht="15">
      <c r="A67" s="200"/>
      <c r="B67" s="200">
        <v>31</v>
      </c>
      <c r="C67" s="200" t="s">
        <v>479</v>
      </c>
      <c r="D67" s="201">
        <f>BANKWISE!E584</f>
        <v>0</v>
      </c>
      <c r="E67" s="201">
        <f>BANKWISE!F584</f>
        <v>0</v>
      </c>
      <c r="F67" s="201">
        <f>BANKWISE!G584</f>
        <v>0</v>
      </c>
      <c r="G67" s="201">
        <f>BANKWISE!H584</f>
        <v>0</v>
      </c>
      <c r="H67" s="201">
        <f>BANKWISE!I584</f>
        <v>0</v>
      </c>
      <c r="I67" s="201">
        <f>BANKWISE!J584</f>
        <v>0</v>
      </c>
      <c r="J67" s="201">
        <f>BANKWISE!K584</f>
        <v>1045.7665529212716</v>
      </c>
      <c r="K67" s="201">
        <f>BANKWISE!L584</f>
        <v>477.02477883652955</v>
      </c>
      <c r="L67" s="201">
        <f>BANKWISE!M584</f>
        <v>728.546934950336</v>
      </c>
      <c r="M67" s="201">
        <f>BANKWISE!N584</f>
        <v>1075.4740468314485</v>
      </c>
      <c r="N67" s="201">
        <f>BANKWISE!O584</f>
        <v>84.0775</v>
      </c>
      <c r="O67" s="201">
        <f>BANKWISE!P584</f>
        <v>515</v>
      </c>
      <c r="P67" s="201">
        <f>BANKWISE!Q584</f>
        <v>1045</v>
      </c>
      <c r="Q67" s="201" t="e">
        <f>BANKWISE!#REF!</f>
        <v>#REF!</v>
      </c>
      <c r="R67" s="199" t="e">
        <f t="shared" si="1"/>
        <v>#REF!</v>
      </c>
      <c r="T67" s="201">
        <v>0</v>
      </c>
      <c r="U67" s="201">
        <v>0</v>
      </c>
      <c r="V67" s="201">
        <v>0</v>
      </c>
      <c r="W67" s="201">
        <v>241.548576</v>
      </c>
      <c r="X67" s="201">
        <v>3624.3884</v>
      </c>
      <c r="Y67" s="201">
        <v>3865.936976</v>
      </c>
    </row>
    <row r="68" spans="1:25" ht="15">
      <c r="A68" s="200"/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199">
        <f t="shared" si="1"/>
        <v>0</v>
      </c>
      <c r="T68" s="200"/>
      <c r="U68" s="200"/>
      <c r="V68" s="201"/>
      <c r="W68" s="200"/>
      <c r="X68" s="200"/>
      <c r="Y68" s="201"/>
    </row>
    <row r="69" spans="1:25" ht="15">
      <c r="A69" s="200"/>
      <c r="B69" s="200">
        <v>32</v>
      </c>
      <c r="C69" s="200" t="s">
        <v>480</v>
      </c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199">
        <f t="shared" si="1"/>
        <v>0</v>
      </c>
      <c r="T69" s="201">
        <v>0</v>
      </c>
      <c r="U69" s="201">
        <v>0</v>
      </c>
      <c r="V69" s="201">
        <v>0</v>
      </c>
      <c r="W69" s="201">
        <v>0</v>
      </c>
      <c r="X69" s="201">
        <v>112514.868658576</v>
      </c>
      <c r="Y69" s="201">
        <v>112514.868658576</v>
      </c>
    </row>
    <row r="70" spans="1:25" ht="15">
      <c r="A70" s="200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199">
        <f t="shared" si="1"/>
        <v>0</v>
      </c>
      <c r="T70" s="200"/>
      <c r="U70" s="200"/>
      <c r="V70" s="201"/>
      <c r="W70" s="200"/>
      <c r="X70" s="200"/>
      <c r="Y70" s="201"/>
    </row>
    <row r="71" spans="1:25" ht="15">
      <c r="A71" s="200"/>
      <c r="B71" s="200">
        <v>33</v>
      </c>
      <c r="C71" s="200" t="s">
        <v>481</v>
      </c>
      <c r="D71" s="210">
        <f>BANKWISE!E589</f>
        <v>0</v>
      </c>
      <c r="E71" s="210">
        <f>BANKWISE!F589</f>
        <v>0</v>
      </c>
      <c r="F71" s="210">
        <f>BANKWISE!G589</f>
        <v>0</v>
      </c>
      <c r="G71" s="210">
        <f>BANKWISE!H589</f>
        <v>0</v>
      </c>
      <c r="H71" s="210">
        <f>BANKWISE!I589</f>
        <v>0</v>
      </c>
      <c r="I71" s="210">
        <f>BANKWISE!J589</f>
        <v>0</v>
      </c>
      <c r="J71" s="210">
        <f>BANKWISE!K589</f>
        <v>0</v>
      </c>
      <c r="K71" s="210">
        <f>BANKWISE!L589</f>
        <v>41638.63580880783</v>
      </c>
      <c r="L71" s="210">
        <f>BANKWISE!M589</f>
        <v>62599.825598906486</v>
      </c>
      <c r="M71" s="210">
        <f>BANKWISE!N589</f>
        <v>96130.74255076674</v>
      </c>
      <c r="N71" s="210">
        <f>BANKWISE!O589</f>
        <v>44.84</v>
      </c>
      <c r="O71" s="210">
        <f>BANKWISE!P589</f>
        <v>275</v>
      </c>
      <c r="P71" s="210">
        <f>BANKWISE!Q589</f>
        <v>550</v>
      </c>
      <c r="Q71" s="210" t="e">
        <f>BANKWISE!#REF!</f>
        <v>#REF!</v>
      </c>
      <c r="R71" s="199" t="e">
        <f aca="true" t="shared" si="2" ref="R71:R102">SUM(I71:Q71)</f>
        <v>#REF!</v>
      </c>
      <c r="T71" s="210">
        <v>0</v>
      </c>
      <c r="U71" s="210">
        <v>0</v>
      </c>
      <c r="V71" s="201">
        <v>0</v>
      </c>
      <c r="W71" s="210">
        <v>0</v>
      </c>
      <c r="X71" s="210">
        <v>323874.870312351</v>
      </c>
      <c r="Y71" s="201">
        <v>323874.870312351</v>
      </c>
    </row>
    <row r="72" spans="1:25" ht="15">
      <c r="A72" s="200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199">
        <f t="shared" si="2"/>
        <v>0</v>
      </c>
      <c r="T72" s="200"/>
      <c r="U72" s="200"/>
      <c r="V72" s="201"/>
      <c r="W72" s="200"/>
      <c r="X72" s="200"/>
      <c r="Y72" s="201"/>
    </row>
    <row r="73" spans="1:25" ht="15">
      <c r="A73" s="200"/>
      <c r="B73" s="200">
        <v>34</v>
      </c>
      <c r="C73" s="200" t="s">
        <v>482</v>
      </c>
      <c r="D73" s="199">
        <f>BANKWISE!E600</f>
        <v>0</v>
      </c>
      <c r="E73" s="199">
        <f>BANKWISE!F600</f>
        <v>0</v>
      </c>
      <c r="F73" s="199">
        <f>BANKWISE!G600</f>
        <v>0</v>
      </c>
      <c r="G73" s="199">
        <f>BANKWISE!H600</f>
        <v>0</v>
      </c>
      <c r="H73" s="199">
        <f>BANKWISE!I600</f>
        <v>0</v>
      </c>
      <c r="I73" s="199">
        <f>BANKWISE!J600</f>
        <v>0</v>
      </c>
      <c r="J73" s="199">
        <f>BANKWISE!K600</f>
        <v>39010.70079889163</v>
      </c>
      <c r="K73" s="199">
        <f>BANKWISE!L600</f>
        <v>9821.63274156371</v>
      </c>
      <c r="L73" s="199">
        <f>BANKWISE!M600</f>
        <v>15000.311823479118</v>
      </c>
      <c r="M73" s="199">
        <f>BANKWISE!N600</f>
        <v>22143.31745370727</v>
      </c>
      <c r="N73" s="199">
        <f>BANKWISE!O600</f>
        <v>123.315</v>
      </c>
      <c r="O73" s="199">
        <f>BANKWISE!P600</f>
        <v>757.14</v>
      </c>
      <c r="P73" s="199">
        <f>BANKWISE!Q600</f>
        <v>1574.8660714285716</v>
      </c>
      <c r="Q73" s="199" t="e">
        <f>BANKWISE!#REF!</f>
        <v>#REF!</v>
      </c>
      <c r="R73" s="199" t="e">
        <f t="shared" si="2"/>
        <v>#REF!</v>
      </c>
      <c r="T73" s="199">
        <v>41433.0466872514</v>
      </c>
      <c r="U73" s="199">
        <v>15200.8470407996</v>
      </c>
      <c r="V73" s="199">
        <v>56633.893728051</v>
      </c>
      <c r="W73" s="199">
        <v>10384.5556512117</v>
      </c>
      <c r="X73" s="199">
        <v>108958.606238442</v>
      </c>
      <c r="Y73" s="199">
        <v>175978.055617705</v>
      </c>
    </row>
    <row r="74" spans="1:25" ht="15">
      <c r="A74" s="200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199">
        <f t="shared" si="2"/>
        <v>0</v>
      </c>
      <c r="T74" s="200"/>
      <c r="U74" s="200"/>
      <c r="V74" s="201"/>
      <c r="W74" s="200"/>
      <c r="X74" s="200"/>
      <c r="Y74" s="201"/>
    </row>
    <row r="75" spans="1:25" ht="15">
      <c r="A75" s="200"/>
      <c r="B75" s="200">
        <v>35</v>
      </c>
      <c r="C75" s="200" t="s">
        <v>483</v>
      </c>
      <c r="D75" s="199">
        <f>BANKWISE!E615</f>
        <v>0</v>
      </c>
      <c r="E75" s="199">
        <f>BANKWISE!F615</f>
        <v>0</v>
      </c>
      <c r="F75" s="199">
        <f>BANKWISE!G615</f>
        <v>0</v>
      </c>
      <c r="G75" s="199">
        <f>BANKWISE!H615</f>
        <v>0</v>
      </c>
      <c r="H75" s="199">
        <f>BANKWISE!I615</f>
        <v>0</v>
      </c>
      <c r="I75" s="199">
        <f>BANKWISE!J615</f>
        <v>0</v>
      </c>
      <c r="J75" s="199">
        <f>BANKWISE!K615</f>
        <v>30221.312021935963</v>
      </c>
      <c r="K75" s="199">
        <f>BANKWISE!L615</f>
        <v>6823.37292384237</v>
      </c>
      <c r="L75" s="199">
        <f>BANKWISE!M615</f>
        <v>10422.678647322891</v>
      </c>
      <c r="M75" s="199">
        <f>BANKWISE!N615</f>
        <v>15405.858955571888</v>
      </c>
      <c r="N75" s="199">
        <f>BANKWISE!O615</f>
        <v>261.7125</v>
      </c>
      <c r="O75" s="199">
        <f>BANKWISE!P615</f>
        <v>1994</v>
      </c>
      <c r="P75" s="199">
        <f>BANKWISE!Q615</f>
        <v>3868</v>
      </c>
      <c r="Q75" s="199" t="e">
        <f>BANKWISE!#REF!</f>
        <v>#REF!</v>
      </c>
      <c r="R75" s="199" t="e">
        <f t="shared" si="2"/>
        <v>#REF!</v>
      </c>
      <c r="T75" s="199">
        <v>40682.6101701414</v>
      </c>
      <c r="U75" s="199">
        <v>13564.8765753226</v>
      </c>
      <c r="V75" s="199">
        <v>54248.486745464</v>
      </c>
      <c r="W75" s="199">
        <v>8312.85653642483</v>
      </c>
      <c r="X75" s="199">
        <v>73792.7642748239</v>
      </c>
      <c r="Y75" s="199">
        <v>136354.107556713</v>
      </c>
    </row>
    <row r="76" spans="1:25" ht="15">
      <c r="A76" s="200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199">
        <f t="shared" si="2"/>
        <v>0</v>
      </c>
      <c r="T76" s="200"/>
      <c r="U76" s="200"/>
      <c r="V76" s="201"/>
      <c r="W76" s="200"/>
      <c r="X76" s="200"/>
      <c r="Y76" s="201"/>
    </row>
    <row r="77" spans="1:25" ht="15">
      <c r="A77" s="200"/>
      <c r="B77" s="200">
        <v>36</v>
      </c>
      <c r="C77" s="200" t="s">
        <v>484</v>
      </c>
      <c r="D77" s="199">
        <f>BANKWISE!E625</f>
        <v>11</v>
      </c>
      <c r="E77" s="199">
        <f>BANKWISE!F625</f>
        <v>0</v>
      </c>
      <c r="F77" s="199">
        <f>BANKWISE!G625</f>
        <v>11</v>
      </c>
      <c r="G77" s="199">
        <f>BANKWISE!H625</f>
        <v>0</v>
      </c>
      <c r="H77" s="199">
        <f>BANKWISE!I625</f>
        <v>0</v>
      </c>
      <c r="I77" s="199">
        <f>BANKWISE!J625</f>
        <v>11</v>
      </c>
      <c r="J77" s="199">
        <f>BANKWISE!K625</f>
        <v>4494.676694761725</v>
      </c>
      <c r="K77" s="199">
        <f>BANKWISE!L625</f>
        <v>3486.6835801612215</v>
      </c>
      <c r="L77" s="199">
        <f>BANKWISE!M625</f>
        <v>5325.116740609866</v>
      </c>
      <c r="M77" s="199">
        <f>BANKWISE!N625</f>
        <v>7860.886617090755</v>
      </c>
      <c r="N77" s="199">
        <f>BANKWISE!O625</f>
        <v>84.0775</v>
      </c>
      <c r="O77" s="199">
        <f>BANKWISE!P625</f>
        <v>517.14</v>
      </c>
      <c r="P77" s="199">
        <f>BANKWISE!Q625</f>
        <v>1067.6785714285716</v>
      </c>
      <c r="Q77" s="199" t="e">
        <f>BANKWISE!#REF!</f>
        <v>#REF!</v>
      </c>
      <c r="R77" s="199" t="e">
        <f t="shared" si="2"/>
        <v>#REF!</v>
      </c>
      <c r="T77" s="199">
        <v>12</v>
      </c>
      <c r="U77" s="199">
        <v>0</v>
      </c>
      <c r="V77" s="199">
        <v>12</v>
      </c>
      <c r="W77" s="199">
        <v>1162.74158517021</v>
      </c>
      <c r="X77" s="199">
        <v>29354.688061144</v>
      </c>
      <c r="Y77" s="199">
        <v>30530.4296463142</v>
      </c>
    </row>
    <row r="78" spans="1:25" ht="15">
      <c r="A78" s="200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199">
        <f t="shared" si="2"/>
        <v>0</v>
      </c>
      <c r="T78" s="200"/>
      <c r="U78" s="200"/>
      <c r="V78" s="201"/>
      <c r="W78" s="200"/>
      <c r="X78" s="200"/>
      <c r="Y78" s="201"/>
    </row>
    <row r="79" spans="1:25" ht="15">
      <c r="A79" s="200"/>
      <c r="B79" s="200">
        <v>37</v>
      </c>
      <c r="C79" s="200" t="s">
        <v>485</v>
      </c>
      <c r="D79" s="201">
        <f>BANKWISE!E639</f>
        <v>0</v>
      </c>
      <c r="E79" s="201">
        <f>BANKWISE!F639</f>
        <v>0</v>
      </c>
      <c r="F79" s="201">
        <f>BANKWISE!G639</f>
        <v>0</v>
      </c>
      <c r="G79" s="201">
        <f>BANKWISE!H639</f>
        <v>0</v>
      </c>
      <c r="H79" s="201">
        <f>BANKWISE!I639</f>
        <v>0</v>
      </c>
      <c r="I79" s="201">
        <f>BANKWISE!J639</f>
        <v>0</v>
      </c>
      <c r="J79" s="201">
        <f>BANKWISE!K639</f>
        <v>2091.533105842543</v>
      </c>
      <c r="K79" s="201">
        <f>BANKWISE!L639</f>
        <v>1798.2827780658333</v>
      </c>
      <c r="L79" s="201">
        <f>BANKWISE!M639</f>
        <v>2746.468242864182</v>
      </c>
      <c r="M79" s="201">
        <f>BANKWISE!N639</f>
        <v>4054.3102632756963</v>
      </c>
      <c r="N79" s="201">
        <f>BANKWISE!O639</f>
        <v>168.155</v>
      </c>
      <c r="O79" s="201">
        <f>BANKWISE!P639</f>
        <v>1034.28</v>
      </c>
      <c r="P79" s="201">
        <f>BANKWISE!Q639</f>
        <v>2090</v>
      </c>
      <c r="Q79" s="201" t="e">
        <f>BANKWISE!#REF!</f>
        <v>#REF!</v>
      </c>
      <c r="R79" s="199" t="e">
        <f t="shared" si="2"/>
        <v>#REF!</v>
      </c>
      <c r="T79" s="201">
        <v>0</v>
      </c>
      <c r="U79" s="201">
        <v>0</v>
      </c>
      <c r="V79" s="201">
        <v>0</v>
      </c>
      <c r="W79" s="201">
        <v>606.37144</v>
      </c>
      <c r="X79" s="201">
        <v>17452.79824</v>
      </c>
      <c r="Y79" s="201">
        <v>18059.16968</v>
      </c>
    </row>
    <row r="80" spans="1:25" ht="15">
      <c r="A80" s="200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199">
        <f t="shared" si="2"/>
        <v>0</v>
      </c>
      <c r="T80" s="200"/>
      <c r="U80" s="200"/>
      <c r="V80" s="201"/>
      <c r="W80" s="200"/>
      <c r="X80" s="200"/>
      <c r="Y80" s="201"/>
    </row>
    <row r="81" spans="1:25" ht="15">
      <c r="A81" s="200"/>
      <c r="B81" s="200">
        <v>38</v>
      </c>
      <c r="C81" s="200" t="s">
        <v>486</v>
      </c>
      <c r="D81" s="199">
        <f>BANKWISE!E651</f>
        <v>0</v>
      </c>
      <c r="E81" s="199">
        <f>BANKWISE!F651</f>
        <v>0</v>
      </c>
      <c r="F81" s="199">
        <f>BANKWISE!G651</f>
        <v>0</v>
      </c>
      <c r="G81" s="199">
        <f>BANKWISE!H651</f>
        <v>0</v>
      </c>
      <c r="H81" s="199">
        <f>BANKWISE!I651</f>
        <v>0</v>
      </c>
      <c r="I81" s="199">
        <f>BANKWISE!J651</f>
        <v>0</v>
      </c>
      <c r="J81" s="199">
        <f>BANKWISE!K651</f>
        <v>1045.7665529212716</v>
      </c>
      <c r="K81" s="199">
        <f>BANKWISE!L651</f>
        <v>1498.6115929469993</v>
      </c>
      <c r="L81" s="199">
        <f>BANKWISE!M651</f>
        <v>2288.7886146826895</v>
      </c>
      <c r="M81" s="199">
        <f>BANKWISE!N651</f>
        <v>3378.6879550077797</v>
      </c>
      <c r="N81" s="199">
        <f>BANKWISE!O651</f>
        <v>123.315</v>
      </c>
      <c r="O81" s="199">
        <f>BANKWISE!P651</f>
        <v>757.14</v>
      </c>
      <c r="P81" s="199">
        <f>BANKWISE!Q651</f>
        <v>1540</v>
      </c>
      <c r="Q81" s="199" t="e">
        <f>BANKWISE!#REF!</f>
        <v>#REF!</v>
      </c>
      <c r="R81" s="199" t="e">
        <f t="shared" si="2"/>
        <v>#REF!</v>
      </c>
      <c r="T81" s="199">
        <v>0</v>
      </c>
      <c r="U81" s="199">
        <v>0</v>
      </c>
      <c r="V81" s="199">
        <v>0</v>
      </c>
      <c r="W81" s="199">
        <v>363.822864</v>
      </c>
      <c r="X81" s="199">
        <v>14417.67592</v>
      </c>
      <c r="Y81" s="199">
        <v>14782.498784</v>
      </c>
    </row>
    <row r="82" spans="1:25" ht="15">
      <c r="A82" s="200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199">
        <f t="shared" si="2"/>
        <v>0</v>
      </c>
      <c r="T82" s="200"/>
      <c r="U82" s="200"/>
      <c r="V82" s="201"/>
      <c r="W82" s="200"/>
      <c r="X82" s="200"/>
      <c r="Y82" s="201"/>
    </row>
    <row r="83" spans="1:25" ht="30">
      <c r="A83" s="200"/>
      <c r="B83" s="200">
        <v>39</v>
      </c>
      <c r="C83" s="200" t="s">
        <v>487</v>
      </c>
      <c r="D83" s="201">
        <f>BANKWISE!E672</f>
        <v>0</v>
      </c>
      <c r="E83" s="201">
        <f>BANKWISE!F672</f>
        <v>0</v>
      </c>
      <c r="F83" s="201">
        <f>BANKWISE!G672</f>
        <v>0</v>
      </c>
      <c r="G83" s="201">
        <f>BANKWISE!H672</f>
        <v>0</v>
      </c>
      <c r="H83" s="201">
        <f>BANKWISE!I672</f>
        <v>0</v>
      </c>
      <c r="I83" s="201">
        <f>BANKWISE!J672</f>
        <v>0</v>
      </c>
      <c r="J83" s="201">
        <f>BANKWISE!K672</f>
        <v>135804.719961391</v>
      </c>
      <c r="K83" s="201">
        <f>BANKWISE!L672</f>
        <v>82113.73531267386</v>
      </c>
      <c r="L83" s="201">
        <f>BANKWISE!M672</f>
        <v>129842.65029572009</v>
      </c>
      <c r="M83" s="201">
        <f>BANKWISE!N672</f>
        <v>192243.91234130107</v>
      </c>
      <c r="N83" s="201">
        <f>BANKWISE!O672</f>
        <v>810.9175</v>
      </c>
      <c r="O83" s="201">
        <f>BANKWISE!P672</f>
        <v>5329.28</v>
      </c>
      <c r="P83" s="201">
        <f>BANKWISE!Q672</f>
        <v>10642.450892857143</v>
      </c>
      <c r="Q83" s="201" t="e">
        <f>BANKWISE!#REF!</f>
        <v>#REF!</v>
      </c>
      <c r="R83" s="199" t="e">
        <f t="shared" si="2"/>
        <v>#REF!</v>
      </c>
      <c r="T83" s="201">
        <v>0</v>
      </c>
      <c r="U83" s="201">
        <v>0</v>
      </c>
      <c r="V83" s="201">
        <v>0</v>
      </c>
      <c r="W83" s="201">
        <v>46196.9197962345</v>
      </c>
      <c r="X83" s="201">
        <v>1051649.88472186</v>
      </c>
      <c r="Y83" s="201">
        <v>1097846.8045181</v>
      </c>
    </row>
    <row r="84" spans="1:25" ht="15">
      <c r="A84" s="200"/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199">
        <f t="shared" si="2"/>
        <v>0</v>
      </c>
      <c r="T84" s="200"/>
      <c r="U84" s="200"/>
      <c r="V84" s="201"/>
      <c r="W84" s="200"/>
      <c r="X84" s="200"/>
      <c r="Y84" s="201"/>
    </row>
    <row r="85" spans="1:25" ht="15">
      <c r="A85" s="200"/>
      <c r="B85" s="200">
        <v>40</v>
      </c>
      <c r="C85" s="200" t="s">
        <v>488</v>
      </c>
      <c r="D85" s="201">
        <f>BANKWISE!E676</f>
        <v>0</v>
      </c>
      <c r="E85" s="201">
        <f>BANKWISE!F676</f>
        <v>0</v>
      </c>
      <c r="F85" s="201">
        <f>BANKWISE!G676</f>
        <v>0</v>
      </c>
      <c r="G85" s="201">
        <f>BANKWISE!H676</f>
        <v>0</v>
      </c>
      <c r="H85" s="201">
        <f>BANKWISE!I676</f>
        <v>0</v>
      </c>
      <c r="I85" s="201">
        <f>BANKWISE!J676</f>
        <v>0</v>
      </c>
      <c r="J85" s="201">
        <f>BANKWISE!K676</f>
        <v>3310.4704675239796</v>
      </c>
      <c r="K85" s="201">
        <f>BANKWISE!L676</f>
        <v>14539.799345132431</v>
      </c>
      <c r="L85" s="201">
        <f>BANKWISE!M676</f>
        <v>22000.238999838624</v>
      </c>
      <c r="M85" s="201">
        <f>BANKWISE!N676</f>
        <v>32780.6385235713</v>
      </c>
      <c r="N85" s="201">
        <f>BANKWISE!O676</f>
        <v>44</v>
      </c>
      <c r="O85" s="201">
        <f>BANKWISE!P676</f>
        <v>277.14</v>
      </c>
      <c r="P85" s="201">
        <f>BANKWISE!Q676</f>
        <v>555</v>
      </c>
      <c r="Q85" s="201" t="e">
        <f>BANKWISE!#REF!</f>
        <v>#REF!</v>
      </c>
      <c r="R85" s="199" t="e">
        <f t="shared" si="2"/>
        <v>#REF!</v>
      </c>
      <c r="T85" s="201">
        <v>0</v>
      </c>
      <c r="U85" s="201">
        <v>0</v>
      </c>
      <c r="V85" s="201">
        <v>0</v>
      </c>
      <c r="W85" s="201">
        <v>889.084174006599</v>
      </c>
      <c r="X85" s="201">
        <v>111960.272494552</v>
      </c>
      <c r="Y85" s="201">
        <v>112849.356668558</v>
      </c>
    </row>
    <row r="86" spans="1:25" ht="15">
      <c r="A86" s="200"/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199">
        <f t="shared" si="2"/>
        <v>0</v>
      </c>
      <c r="T86" s="200"/>
      <c r="U86" s="200"/>
      <c r="V86" s="201"/>
      <c r="W86" s="200"/>
      <c r="X86" s="200"/>
      <c r="Y86" s="201"/>
    </row>
    <row r="87" spans="1:25" ht="15">
      <c r="A87" s="200"/>
      <c r="B87" s="200">
        <v>41</v>
      </c>
      <c r="C87" s="200" t="s">
        <v>489</v>
      </c>
      <c r="D87" s="199">
        <f>BANKWISE!E728</f>
        <v>440873.7095987047</v>
      </c>
      <c r="E87" s="199">
        <f>BANKWISE!F728</f>
        <v>524671.416057133</v>
      </c>
      <c r="F87" s="199">
        <f>BANKWISE!G728</f>
        <v>965545.1256558376</v>
      </c>
      <c r="G87" s="199">
        <f>BANKWISE!H728</f>
        <v>63511.71824637828</v>
      </c>
      <c r="H87" s="199">
        <f>BANKWISE!I728</f>
        <v>59459.81131242942</v>
      </c>
      <c r="I87" s="199">
        <f>BANKWISE!J728</f>
        <v>1088516.6552146454</v>
      </c>
      <c r="J87" s="199">
        <f>BANKWISE!K728</f>
        <v>500450.6572269251</v>
      </c>
      <c r="K87" s="199">
        <f>BANKWISE!L728</f>
        <v>166765.91615960302</v>
      </c>
      <c r="L87" s="199">
        <f>BANKWISE!M728</f>
        <v>270297.6719528482</v>
      </c>
      <c r="M87" s="199">
        <f>BANKWISE!N728</f>
        <v>392868.610978014</v>
      </c>
      <c r="N87" s="199">
        <f>BANKWISE!O728</f>
        <v>5175.049166666668</v>
      </c>
      <c r="O87" s="199">
        <f>BANKWISE!P728</f>
        <v>31859.333333333332</v>
      </c>
      <c r="P87" s="199">
        <f>BANKWISE!Q728</f>
        <v>65636.65625</v>
      </c>
      <c r="Q87" s="199" t="e">
        <f>BANKWISE!#REF!</f>
        <v>#REF!</v>
      </c>
      <c r="R87" s="199" t="e">
        <f t="shared" si="2"/>
        <v>#REF!</v>
      </c>
      <c r="T87" s="199">
        <v>475883.602054154</v>
      </c>
      <c r="U87" s="199">
        <v>668290.94116377</v>
      </c>
      <c r="V87" s="199">
        <v>1144174.54321792</v>
      </c>
      <c r="W87" s="199">
        <v>137407.514599219</v>
      </c>
      <c r="X87" s="199">
        <v>1968855.83585545</v>
      </c>
      <c r="Y87" s="199">
        <v>3250438.89367259</v>
      </c>
    </row>
    <row r="88" spans="1:25" ht="15">
      <c r="A88" s="200"/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199">
        <f t="shared" si="2"/>
        <v>0</v>
      </c>
      <c r="T88" s="200"/>
      <c r="U88" s="200"/>
      <c r="V88" s="201"/>
      <c r="W88" s="200"/>
      <c r="X88" s="200"/>
      <c r="Y88" s="201"/>
    </row>
    <row r="89" spans="1:25" ht="15">
      <c r="A89" s="200"/>
      <c r="B89" s="200">
        <v>42</v>
      </c>
      <c r="C89" s="200" t="s">
        <v>490</v>
      </c>
      <c r="D89" s="199">
        <f>BANKWISE!E745</f>
        <v>200</v>
      </c>
      <c r="E89" s="199">
        <f>BANKWISE!F745</f>
        <v>0</v>
      </c>
      <c r="F89" s="199">
        <f>BANKWISE!G745</f>
        <v>200</v>
      </c>
      <c r="G89" s="199">
        <f>BANKWISE!H745</f>
        <v>0</v>
      </c>
      <c r="H89" s="199">
        <f>BANKWISE!I745</f>
        <v>0</v>
      </c>
      <c r="I89" s="199">
        <f>BANKWISE!J745</f>
        <v>200</v>
      </c>
      <c r="J89" s="199">
        <f>BANKWISE!K745</f>
        <v>475343.25775683875</v>
      </c>
      <c r="K89" s="199">
        <f>BANKWISE!L745</f>
        <v>100133.7706109492</v>
      </c>
      <c r="L89" s="199">
        <f>BANKWISE!M745</f>
        <v>151501.57693308603</v>
      </c>
      <c r="M89" s="199">
        <f>BANKWISE!N745</f>
        <v>225756.1373774127</v>
      </c>
      <c r="N89" s="199">
        <f>BANKWISE!O745</f>
        <v>298.475</v>
      </c>
      <c r="O89" s="199">
        <f>BANKWISE!P745</f>
        <v>1850</v>
      </c>
      <c r="P89" s="199">
        <f>BANKWISE!Q745</f>
        <v>3862.1875</v>
      </c>
      <c r="Q89" s="199" t="e">
        <f>BANKWISE!#REF!</f>
        <v>#REF!</v>
      </c>
      <c r="R89" s="199" t="e">
        <f t="shared" si="2"/>
        <v>#REF!</v>
      </c>
      <c r="T89" s="199">
        <v>0</v>
      </c>
      <c r="U89" s="199">
        <v>0</v>
      </c>
      <c r="V89" s="199">
        <v>0</v>
      </c>
      <c r="W89" s="199">
        <v>165780.504621922</v>
      </c>
      <c r="X89" s="199">
        <v>1591229.33805242</v>
      </c>
      <c r="Y89" s="199">
        <v>1757009.84267435</v>
      </c>
    </row>
    <row r="90" spans="1:25" ht="15">
      <c r="A90" s="200"/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199">
        <f t="shared" si="2"/>
        <v>0</v>
      </c>
      <c r="T90" s="200"/>
      <c r="U90" s="200"/>
      <c r="V90" s="201"/>
      <c r="W90" s="200"/>
      <c r="X90" s="200"/>
      <c r="Y90" s="201"/>
    </row>
    <row r="91" spans="1:25" ht="30">
      <c r="A91" s="200"/>
      <c r="B91" s="200">
        <v>43</v>
      </c>
      <c r="C91" s="200" t="s">
        <v>491</v>
      </c>
      <c r="D91" s="201">
        <f>BANKWISE!E754</f>
        <v>4650.642581529097</v>
      </c>
      <c r="E91" s="201">
        <f>BANKWISE!F754</f>
        <v>0</v>
      </c>
      <c r="F91" s="201">
        <f>BANKWISE!G754</f>
        <v>4650.642581529097</v>
      </c>
      <c r="G91" s="201">
        <f>BANKWISE!H754</f>
        <v>0</v>
      </c>
      <c r="H91" s="201">
        <f>BANKWISE!I754</f>
        <v>0</v>
      </c>
      <c r="I91" s="201">
        <f>BANKWISE!J754</f>
        <v>4650.642581529097</v>
      </c>
      <c r="J91" s="201">
        <f>BANKWISE!K754</f>
        <v>34491.16359124479</v>
      </c>
      <c r="K91" s="201">
        <f>BANKWISE!L754</f>
        <v>29148.0110228165</v>
      </c>
      <c r="L91" s="201">
        <f>BANKWISE!M754</f>
        <v>45039.289562119746</v>
      </c>
      <c r="M91" s="201">
        <f>BANKWISE!N754</f>
        <v>66486.5703059863</v>
      </c>
      <c r="N91" s="201">
        <f>BANKWISE!O754</f>
        <v>89.68</v>
      </c>
      <c r="O91" s="201">
        <f>BANKWISE!P754</f>
        <v>554.28</v>
      </c>
      <c r="P91" s="201">
        <f>BANKWISE!Q754</f>
        <v>1100</v>
      </c>
      <c r="Q91" s="201" t="e">
        <f>BANKWISE!#REF!</f>
        <v>#REF!</v>
      </c>
      <c r="R91" s="199" t="e">
        <f t="shared" si="2"/>
        <v>#REF!</v>
      </c>
      <c r="T91" s="201">
        <v>5000.14294350752</v>
      </c>
      <c r="U91" s="201">
        <v>0</v>
      </c>
      <c r="V91" s="201">
        <v>5000.14294350752</v>
      </c>
      <c r="W91" s="201">
        <v>8421.29178459461</v>
      </c>
      <c r="X91" s="201">
        <v>254177.52587408</v>
      </c>
      <c r="Y91" s="201">
        <v>267598.960602182</v>
      </c>
    </row>
    <row r="92" spans="1:25" ht="15">
      <c r="A92" s="200"/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199">
        <f t="shared" si="2"/>
        <v>0</v>
      </c>
      <c r="T92" s="200"/>
      <c r="U92" s="200"/>
      <c r="V92" s="201"/>
      <c r="W92" s="200"/>
      <c r="X92" s="200"/>
      <c r="Y92" s="201"/>
    </row>
    <row r="93" spans="1:25" ht="30">
      <c r="A93" s="200"/>
      <c r="B93" s="200">
        <v>44</v>
      </c>
      <c r="C93" s="200" t="s">
        <v>492</v>
      </c>
      <c r="D93" s="201">
        <f>BANKWISE!E784</f>
        <v>0</v>
      </c>
      <c r="E93" s="201">
        <f>BANKWISE!F784</f>
        <v>8137.0045217769775</v>
      </c>
      <c r="F93" s="201">
        <f>BANKWISE!G784</f>
        <v>8137.0045217769775</v>
      </c>
      <c r="G93" s="201">
        <f>BANKWISE!H784</f>
        <v>984.9571536241042</v>
      </c>
      <c r="H93" s="201">
        <f>BANKWISE!I784</f>
        <v>922.5513355926792</v>
      </c>
      <c r="I93" s="201">
        <f>BANKWISE!J784</f>
        <v>10044.513010993762</v>
      </c>
      <c r="J93" s="201">
        <f>BANKWISE!K784</f>
        <v>40943.2844329589</v>
      </c>
      <c r="K93" s="201">
        <f>BANKWISE!L784</f>
        <v>154679.64510368876</v>
      </c>
      <c r="L93" s="201">
        <f>BANKWISE!M784</f>
        <v>236744.00343108823</v>
      </c>
      <c r="M93" s="201">
        <f>BANKWISE!N784</f>
        <v>350716.2907792255</v>
      </c>
      <c r="N93" s="201">
        <f>BANKWISE!O784</f>
        <v>1055.26</v>
      </c>
      <c r="O93" s="201">
        <f>BANKWISE!P784</f>
        <v>6463.5599999999995</v>
      </c>
      <c r="P93" s="201">
        <f>BANKWISE!Q784</f>
        <v>13283.75</v>
      </c>
      <c r="Q93" s="201" t="e">
        <f>BANKWISE!#REF!</f>
        <v>#REF!</v>
      </c>
      <c r="R93" s="199" t="e">
        <f t="shared" si="2"/>
        <v>#REF!</v>
      </c>
      <c r="T93" s="201">
        <v>0</v>
      </c>
      <c r="U93" s="201">
        <v>9141.64303143693</v>
      </c>
      <c r="V93" s="201">
        <v>9141.64303143693</v>
      </c>
      <c r="W93" s="201">
        <v>9529.13019104156</v>
      </c>
      <c r="X93" s="201">
        <v>1257645.03528668</v>
      </c>
      <c r="Y93" s="201">
        <v>1276315.80850916</v>
      </c>
    </row>
    <row r="94" spans="1:25" ht="15">
      <c r="A94" s="200"/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199">
        <f t="shared" si="2"/>
        <v>0</v>
      </c>
      <c r="T94" s="200"/>
      <c r="U94" s="200"/>
      <c r="V94" s="201"/>
      <c r="W94" s="200"/>
      <c r="X94" s="200"/>
      <c r="Y94" s="201"/>
    </row>
    <row r="95" spans="1:25" ht="15">
      <c r="A95" s="200"/>
      <c r="B95" s="200">
        <v>45</v>
      </c>
      <c r="C95" s="200" t="s">
        <v>493</v>
      </c>
      <c r="D95" s="199">
        <f>BANKWISE!E801</f>
        <v>2</v>
      </c>
      <c r="E95" s="199">
        <f>BANKWISE!F801</f>
        <v>0</v>
      </c>
      <c r="F95" s="199">
        <f>BANKWISE!G801</f>
        <v>2</v>
      </c>
      <c r="G95" s="199">
        <f>BANKWISE!H801</f>
        <v>0</v>
      </c>
      <c r="H95" s="199">
        <f>BANKWISE!I801</f>
        <v>0</v>
      </c>
      <c r="I95" s="199">
        <f>BANKWISE!J801</f>
        <v>2</v>
      </c>
      <c r="J95" s="199">
        <f>BANKWISE!K801</f>
        <v>2639.2858366657047</v>
      </c>
      <c r="K95" s="199">
        <f>BANKWISE!L801</f>
        <v>1679.2442436168776</v>
      </c>
      <c r="L95" s="199">
        <f>BANKWISE!M801</f>
        <v>2564.6639357057766</v>
      </c>
      <c r="M95" s="199">
        <f>BANKWISE!N801</f>
        <v>4785.932476518052</v>
      </c>
      <c r="N95" s="199">
        <f>BANKWISE!O801</f>
        <v>398.315</v>
      </c>
      <c r="O95" s="199">
        <f>BANKWISE!P801</f>
        <v>2867.14</v>
      </c>
      <c r="P95" s="199">
        <f>BANKWISE!Q801</f>
        <v>5558</v>
      </c>
      <c r="Q95" s="199" t="e">
        <f>BANKWISE!#REF!</f>
        <v>#REF!</v>
      </c>
      <c r="R95" s="199" t="e">
        <f t="shared" si="2"/>
        <v>#REF!</v>
      </c>
      <c r="T95" s="199">
        <v>1</v>
      </c>
      <c r="U95" s="199">
        <v>0</v>
      </c>
      <c r="V95" s="199">
        <v>1</v>
      </c>
      <c r="W95" s="199">
        <v>732.645728</v>
      </c>
      <c r="X95" s="199">
        <v>15792.72676544</v>
      </c>
      <c r="Y95" s="199">
        <v>16527.37249344</v>
      </c>
    </row>
    <row r="96" spans="1:25" ht="15">
      <c r="A96" s="200"/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199">
        <f t="shared" si="2"/>
        <v>0</v>
      </c>
      <c r="T96" s="200"/>
      <c r="U96" s="200"/>
      <c r="V96" s="201"/>
      <c r="W96" s="200"/>
      <c r="X96" s="200"/>
      <c r="Y96" s="201"/>
    </row>
    <row r="97" spans="1:25" ht="15">
      <c r="A97" s="200"/>
      <c r="B97" s="200">
        <v>46</v>
      </c>
      <c r="C97" s="200" t="s">
        <v>494</v>
      </c>
      <c r="D97" s="199">
        <f>BANKWISE!E810</f>
        <v>0</v>
      </c>
      <c r="E97" s="199">
        <f>BANKWISE!F810</f>
        <v>0</v>
      </c>
      <c r="F97" s="199">
        <f>BANKWISE!G810</f>
        <v>0</v>
      </c>
      <c r="G97" s="199">
        <f>BANKWISE!H810</f>
        <v>0</v>
      </c>
      <c r="H97" s="199">
        <f>BANKWISE!I810</f>
        <v>0</v>
      </c>
      <c r="I97" s="199">
        <f>BANKWISE!J810</f>
        <v>0</v>
      </c>
      <c r="J97" s="199">
        <f>BANKWISE!K810</f>
        <v>522.8832764606358</v>
      </c>
      <c r="K97" s="199">
        <f>BANKWISE!L810</f>
        <v>571.5345039142168</v>
      </c>
      <c r="L97" s="199">
        <f>BANKWISE!M810</f>
        <v>872.889060523531</v>
      </c>
      <c r="M97" s="199">
        <f>BANKWISE!N810</f>
        <v>1288.5505179156887</v>
      </c>
      <c r="N97" s="199">
        <f>BANKWISE!O810</f>
        <v>42</v>
      </c>
      <c r="O97" s="199">
        <f>BANKWISE!P810</f>
        <v>516</v>
      </c>
      <c r="P97" s="199">
        <f>BANKWISE!Q810</f>
        <v>1045</v>
      </c>
      <c r="Q97" s="199" t="e">
        <f>BANKWISE!#REF!</f>
        <v>#REF!</v>
      </c>
      <c r="R97" s="199" t="e">
        <f t="shared" si="2"/>
        <v>#REF!</v>
      </c>
      <c r="T97" s="199">
        <v>0</v>
      </c>
      <c r="U97" s="199">
        <v>0</v>
      </c>
      <c r="V97" s="199">
        <v>0</v>
      </c>
      <c r="W97" s="199">
        <v>121.274288</v>
      </c>
      <c r="X97" s="199">
        <v>4342.26608</v>
      </c>
      <c r="Y97" s="199">
        <v>4462.540368</v>
      </c>
    </row>
    <row r="98" spans="1:25" ht="1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199">
        <f t="shared" si="2"/>
        <v>0</v>
      </c>
      <c r="T98" s="200"/>
      <c r="U98" s="200"/>
      <c r="V98" s="201"/>
      <c r="W98" s="200"/>
      <c r="X98" s="200"/>
      <c r="Y98" s="201"/>
    </row>
    <row r="99" spans="1:25" ht="15">
      <c r="A99" s="200"/>
      <c r="B99" s="200">
        <v>47</v>
      </c>
      <c r="C99" s="200" t="s">
        <v>495</v>
      </c>
      <c r="D99" s="211">
        <f>BANKWISE!E817</f>
        <v>0</v>
      </c>
      <c r="E99" s="211">
        <f>BANKWISE!F817</f>
        <v>0</v>
      </c>
      <c r="F99" s="211">
        <f>BANKWISE!G817</f>
        <v>0</v>
      </c>
      <c r="G99" s="211">
        <f>BANKWISE!H817</f>
        <v>0</v>
      </c>
      <c r="H99" s="211">
        <f>BANKWISE!I817</f>
        <v>0</v>
      </c>
      <c r="I99" s="211">
        <f>BANKWISE!J817</f>
        <v>0</v>
      </c>
      <c r="J99" s="211">
        <f>BANKWISE!K817</f>
        <v>2614.416382303179</v>
      </c>
      <c r="K99" s="211">
        <f>BANKWISE!L817</f>
        <v>599.4446371787997</v>
      </c>
      <c r="L99" s="211">
        <f>BANKWISE!M817</f>
        <v>915.5154458730758</v>
      </c>
      <c r="M99" s="211">
        <f>BANKWISE!N817</f>
        <v>1351.475182003112</v>
      </c>
      <c r="N99" s="211">
        <f>BANKWISE!O817</f>
        <v>44.84</v>
      </c>
      <c r="O99" s="211">
        <f>BANKWISE!P817</f>
        <v>275</v>
      </c>
      <c r="P99" s="211">
        <f>BANKWISE!Q817</f>
        <v>550</v>
      </c>
      <c r="Q99" s="211" t="e">
        <f>BANKWISE!#REF!</f>
        <v>#REF!</v>
      </c>
      <c r="R99" s="199" t="e">
        <f t="shared" si="2"/>
        <v>#REF!</v>
      </c>
      <c r="T99" s="211">
        <v>0</v>
      </c>
      <c r="U99" s="211">
        <v>0</v>
      </c>
      <c r="V99" s="211">
        <v>0</v>
      </c>
      <c r="W99" s="211">
        <v>606.37144</v>
      </c>
      <c r="X99" s="211">
        <v>4553.26608</v>
      </c>
      <c r="Y99" s="211">
        <v>5158.63752</v>
      </c>
    </row>
    <row r="100" spans="1:25" ht="15">
      <c r="A100" s="200"/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199">
        <f t="shared" si="2"/>
        <v>0</v>
      </c>
      <c r="T100" s="200"/>
      <c r="U100" s="200"/>
      <c r="V100" s="201"/>
      <c r="W100" s="200"/>
      <c r="X100" s="200"/>
      <c r="Y100" s="201"/>
    </row>
    <row r="101" spans="1:25" ht="15">
      <c r="A101" s="200"/>
      <c r="B101" s="200">
        <v>48</v>
      </c>
      <c r="C101" s="200" t="s">
        <v>496</v>
      </c>
      <c r="D101" s="210">
        <f>BANKWISE!E822</f>
        <v>0</v>
      </c>
      <c r="E101" s="210">
        <f>BANKWISE!F822</f>
        <v>0</v>
      </c>
      <c r="F101" s="210">
        <f>BANKWISE!G822</f>
        <v>0</v>
      </c>
      <c r="G101" s="210">
        <f>BANKWISE!H822</f>
        <v>0</v>
      </c>
      <c r="H101" s="210">
        <f>BANKWISE!I822</f>
        <v>0</v>
      </c>
      <c r="I101" s="210">
        <f>BANKWISE!J822</f>
        <v>0</v>
      </c>
      <c r="J101" s="210">
        <f>BANKWISE!K822</f>
        <v>0</v>
      </c>
      <c r="K101" s="210">
        <f>BANKWISE!L822</f>
        <v>14300.29441802756</v>
      </c>
      <c r="L101" s="210">
        <f>BANKWISE!M822</f>
        <v>21298.44965662391</v>
      </c>
      <c r="M101" s="210">
        <f>BANKWISE!N822</f>
        <v>32103.663778825776</v>
      </c>
      <c r="N101" s="210">
        <f>BANKWISE!O822</f>
        <v>44</v>
      </c>
      <c r="O101" s="210">
        <f>BANKWISE!P822</f>
        <v>277.14</v>
      </c>
      <c r="P101" s="210">
        <f>BANKWISE!Q822</f>
        <v>550</v>
      </c>
      <c r="Q101" s="210" t="e">
        <f>BANKWISE!#REF!</f>
        <v>#REF!</v>
      </c>
      <c r="R101" s="199" t="e">
        <f t="shared" si="2"/>
        <v>#REF!</v>
      </c>
      <c r="T101" s="210">
        <v>0</v>
      </c>
      <c r="U101" s="210">
        <v>0</v>
      </c>
      <c r="V101" s="201">
        <v>0</v>
      </c>
      <c r="W101" s="210">
        <v>0</v>
      </c>
      <c r="X101" s="210">
        <v>108622.283809333</v>
      </c>
      <c r="Y101" s="201">
        <v>108622.283809333</v>
      </c>
    </row>
    <row r="102" spans="1:25" ht="15">
      <c r="A102" s="200"/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199">
        <f t="shared" si="2"/>
        <v>0</v>
      </c>
      <c r="T102" s="200"/>
      <c r="U102" s="200"/>
      <c r="V102" s="201"/>
      <c r="W102" s="200"/>
      <c r="X102" s="200"/>
      <c r="Y102" s="201"/>
    </row>
    <row r="103" spans="1:25" ht="15">
      <c r="A103" s="200"/>
      <c r="B103" s="200">
        <v>49</v>
      </c>
      <c r="C103" s="200" t="s">
        <v>497</v>
      </c>
      <c r="D103" s="199">
        <f>BANKWISE!E832</f>
        <v>0</v>
      </c>
      <c r="E103" s="199">
        <f>BANKWISE!F832</f>
        <v>0</v>
      </c>
      <c r="F103" s="199">
        <f>BANKWISE!G832</f>
        <v>0</v>
      </c>
      <c r="G103" s="199">
        <f>BANKWISE!H832</f>
        <v>0</v>
      </c>
      <c r="H103" s="199">
        <f>BANKWISE!I832</f>
        <v>0</v>
      </c>
      <c r="I103" s="199">
        <f>BANKWISE!J832</f>
        <v>0</v>
      </c>
      <c r="J103" s="199">
        <f>BANKWISE!K832</f>
        <v>522.8832764606358</v>
      </c>
      <c r="K103" s="199">
        <f>BANKWISE!L832</f>
        <v>799.2595162383997</v>
      </c>
      <c r="L103" s="199">
        <f>BANKWISE!M832</f>
        <v>1220.6872611641013</v>
      </c>
      <c r="M103" s="199">
        <f>BANKWISE!N832</f>
        <v>1801.966909337483</v>
      </c>
      <c r="N103" s="199">
        <f>BANKWISE!O832</f>
        <v>84.0775</v>
      </c>
      <c r="O103" s="199">
        <f>BANKWISE!P832</f>
        <v>517.14</v>
      </c>
      <c r="P103" s="199">
        <f>BANKWISE!Q832</f>
        <v>1045</v>
      </c>
      <c r="Q103" s="199" t="e">
        <f>BANKWISE!#REF!</f>
        <v>#REF!</v>
      </c>
      <c r="R103" s="199" t="e">
        <f aca="true" t="shared" si="3" ref="R103:R117">SUM(I103:Q103)</f>
        <v>#REF!</v>
      </c>
      <c r="T103" s="199">
        <v>0</v>
      </c>
      <c r="U103" s="199">
        <v>0</v>
      </c>
      <c r="V103" s="199">
        <v>0</v>
      </c>
      <c r="W103" s="199">
        <v>241.548576</v>
      </c>
      <c r="X103" s="199">
        <v>7589.7768</v>
      </c>
      <c r="Y103" s="199">
        <v>7832.325376</v>
      </c>
    </row>
    <row r="104" spans="1:25" ht="15">
      <c r="A104" s="200"/>
      <c r="B104" s="200"/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199">
        <f t="shared" si="3"/>
        <v>0</v>
      </c>
      <c r="T104" s="200"/>
      <c r="U104" s="200"/>
      <c r="V104" s="201"/>
      <c r="W104" s="200"/>
      <c r="X104" s="200"/>
      <c r="Y104" s="201"/>
    </row>
    <row r="105" spans="1:25" ht="30">
      <c r="A105" s="200"/>
      <c r="B105" s="200">
        <v>50</v>
      </c>
      <c r="C105" s="200" t="s">
        <v>498</v>
      </c>
      <c r="D105" s="201">
        <f>BANKWISE!E844</f>
        <v>0</v>
      </c>
      <c r="E105" s="201">
        <f>BANKWISE!F844</f>
        <v>0</v>
      </c>
      <c r="F105" s="201">
        <f>BANKWISE!G844</f>
        <v>0</v>
      </c>
      <c r="G105" s="201">
        <f>BANKWISE!H844</f>
        <v>0</v>
      </c>
      <c r="H105" s="201">
        <f>BANKWISE!I844</f>
        <v>0</v>
      </c>
      <c r="I105" s="201">
        <f>BANKWISE!J844</f>
        <v>0</v>
      </c>
      <c r="J105" s="201">
        <f>BANKWISE!K844</f>
        <v>522.8832764606358</v>
      </c>
      <c r="K105" s="201">
        <f>BANKWISE!L844</f>
        <v>999.0743952979996</v>
      </c>
      <c r="L105" s="201">
        <f>BANKWISE!M844</f>
        <v>1525.8590764551266</v>
      </c>
      <c r="M105" s="201">
        <f>BANKWISE!N844</f>
        <v>2252.4586366718536</v>
      </c>
      <c r="N105" s="201">
        <f>BANKWISE!O844</f>
        <v>123.315</v>
      </c>
      <c r="O105" s="201">
        <f>BANKWISE!P844</f>
        <v>757.14</v>
      </c>
      <c r="P105" s="201">
        <f>BANKWISE!Q844</f>
        <v>1540</v>
      </c>
      <c r="Q105" s="201" t="e">
        <f>BANKWISE!#REF!</f>
        <v>#REF!</v>
      </c>
      <c r="R105" s="199" t="e">
        <f t="shared" si="3"/>
        <v>#REF!</v>
      </c>
      <c r="T105" s="201">
        <v>0</v>
      </c>
      <c r="U105" s="201">
        <v>0</v>
      </c>
      <c r="V105" s="201">
        <v>0</v>
      </c>
      <c r="W105" s="201">
        <v>241.548576</v>
      </c>
      <c r="X105" s="201">
        <v>10626.28752</v>
      </c>
      <c r="Y105" s="201">
        <v>10867.836096</v>
      </c>
    </row>
    <row r="106" spans="1:25" ht="15">
      <c r="A106" s="200"/>
      <c r="B106" s="200"/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199">
        <f t="shared" si="3"/>
        <v>0</v>
      </c>
      <c r="T106" s="200"/>
      <c r="U106" s="200"/>
      <c r="V106" s="201"/>
      <c r="W106" s="200"/>
      <c r="X106" s="200"/>
      <c r="Y106" s="201"/>
    </row>
    <row r="107" spans="1:25" ht="15">
      <c r="A107" s="200"/>
      <c r="B107" s="200">
        <v>51</v>
      </c>
      <c r="C107" s="200" t="s">
        <v>499</v>
      </c>
      <c r="D107" s="210">
        <f>BANKWISE!E848</f>
        <v>0</v>
      </c>
      <c r="E107" s="210">
        <f>BANKWISE!F848</f>
        <v>0</v>
      </c>
      <c r="F107" s="210">
        <f>BANKWISE!G848</f>
        <v>0</v>
      </c>
      <c r="G107" s="210">
        <f>BANKWISE!H848</f>
        <v>0</v>
      </c>
      <c r="H107" s="210">
        <f>BANKWISE!I848</f>
        <v>0</v>
      </c>
      <c r="I107" s="210">
        <f>BANKWISE!J848</f>
        <v>0</v>
      </c>
      <c r="J107" s="210">
        <f>BANKWISE!K848</f>
        <v>0</v>
      </c>
      <c r="K107" s="210">
        <f>BANKWISE!L848</f>
        <v>658.2578600137505</v>
      </c>
      <c r="L107" s="210">
        <f>BANKWISE!M848</f>
        <v>1005.3392771119096</v>
      </c>
      <c r="M107" s="210">
        <f>BANKWISE!N848</f>
        <v>1484.0722662128192</v>
      </c>
      <c r="N107" s="210">
        <f>BANKWISE!O848</f>
        <v>44.84</v>
      </c>
      <c r="O107" s="210">
        <f>BANKWISE!P848</f>
        <v>277</v>
      </c>
      <c r="P107" s="210">
        <f>BANKWISE!Q848</f>
        <v>550</v>
      </c>
      <c r="Q107" s="210" t="e">
        <f>BANKWISE!#REF!</f>
        <v>#REF!</v>
      </c>
      <c r="R107" s="199" t="e">
        <f t="shared" si="3"/>
        <v>#REF!</v>
      </c>
      <c r="T107" s="210">
        <v>0</v>
      </c>
      <c r="U107" s="210">
        <v>0</v>
      </c>
      <c r="V107" s="201">
        <v>0</v>
      </c>
      <c r="W107" s="210">
        <v>121.274288</v>
      </c>
      <c r="X107" s="210">
        <v>3035.51072</v>
      </c>
      <c r="Y107" s="201">
        <v>3156.785008</v>
      </c>
    </row>
    <row r="108" spans="1:25" ht="15">
      <c r="A108" s="200"/>
      <c r="B108" s="200"/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199">
        <f t="shared" si="3"/>
        <v>0</v>
      </c>
      <c r="T108" s="200"/>
      <c r="U108" s="200"/>
      <c r="V108" s="201"/>
      <c r="W108" s="200"/>
      <c r="X108" s="200"/>
      <c r="Y108" s="201"/>
    </row>
    <row r="109" spans="1:25" ht="15">
      <c r="A109" s="200"/>
      <c r="B109" s="200">
        <v>52</v>
      </c>
      <c r="C109" s="200" t="s">
        <v>500</v>
      </c>
      <c r="D109" s="199">
        <f>BANKWISE!E857</f>
        <v>0</v>
      </c>
      <c r="E109" s="199">
        <f>BANKWISE!F857</f>
        <v>0</v>
      </c>
      <c r="F109" s="199">
        <f>BANKWISE!G857</f>
        <v>0</v>
      </c>
      <c r="G109" s="199">
        <f>BANKWISE!H857</f>
        <v>0</v>
      </c>
      <c r="H109" s="199">
        <f>BANKWISE!I857</f>
        <v>0</v>
      </c>
      <c r="I109" s="199">
        <f>BANKWISE!J857</f>
        <v>0</v>
      </c>
      <c r="J109" s="199">
        <f>BANKWISE!K857</f>
        <v>0</v>
      </c>
      <c r="K109" s="199">
        <f>BANKWISE!L857</f>
        <v>499.5371976489997</v>
      </c>
      <c r="L109" s="199">
        <f>BANKWISE!M857</f>
        <v>762.9295382275632</v>
      </c>
      <c r="M109" s="199">
        <f>BANKWISE!N857</f>
        <v>1126.2293183359266</v>
      </c>
      <c r="N109" s="199">
        <f>BANKWISE!O857</f>
        <v>39.2375</v>
      </c>
      <c r="O109" s="199">
        <f>BANKWISE!P857</f>
        <v>240</v>
      </c>
      <c r="P109" s="199">
        <f>BANKWISE!Q857</f>
        <v>495</v>
      </c>
      <c r="Q109" s="199" t="e">
        <f>BANKWISE!#REF!</f>
        <v>#REF!</v>
      </c>
      <c r="R109" s="199" t="e">
        <f t="shared" si="3"/>
        <v>#REF!</v>
      </c>
      <c r="T109" s="199">
        <v>0</v>
      </c>
      <c r="U109" s="199">
        <v>0</v>
      </c>
      <c r="V109" s="201">
        <v>0</v>
      </c>
      <c r="W109" s="199">
        <v>0</v>
      </c>
      <c r="X109" s="199">
        <v>4261.3884</v>
      </c>
      <c r="Y109" s="201">
        <v>4261.3884</v>
      </c>
    </row>
    <row r="110" spans="1:25" ht="15">
      <c r="A110" s="200"/>
      <c r="B110" s="200"/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199">
        <f t="shared" si="3"/>
        <v>0</v>
      </c>
      <c r="T110" s="200"/>
      <c r="U110" s="200"/>
      <c r="V110" s="201"/>
      <c r="W110" s="200"/>
      <c r="X110" s="200"/>
      <c r="Y110" s="201"/>
    </row>
    <row r="111" spans="1:25" ht="15">
      <c r="A111" s="200"/>
      <c r="B111" s="200">
        <v>53</v>
      </c>
      <c r="C111" s="200" t="s">
        <v>501</v>
      </c>
      <c r="D111" s="201">
        <f>BANKWISE!E869</f>
        <v>0</v>
      </c>
      <c r="E111" s="201">
        <f>BANKWISE!F869</f>
        <v>0</v>
      </c>
      <c r="F111" s="201">
        <f>BANKWISE!G869</f>
        <v>0</v>
      </c>
      <c r="G111" s="201">
        <f>BANKWISE!H869</f>
        <v>0</v>
      </c>
      <c r="H111" s="201">
        <f>BANKWISE!I869</f>
        <v>0</v>
      </c>
      <c r="I111" s="201">
        <f>BANKWISE!J869</f>
        <v>0</v>
      </c>
      <c r="J111" s="201">
        <f>BANKWISE!K869</f>
        <v>0</v>
      </c>
      <c r="K111" s="201">
        <f>BANKWISE!L869</f>
        <v>15471.148844170246</v>
      </c>
      <c r="L111" s="201">
        <f>BANKWISE!M869</f>
        <v>23628.663689278186</v>
      </c>
      <c r="M111" s="201">
        <f>BANKWISE!N869</f>
        <v>34880.40830322019</v>
      </c>
      <c r="N111" s="201">
        <f>BANKWISE!O869</f>
        <v>128.91750000000002</v>
      </c>
      <c r="O111" s="201">
        <f>BANKWISE!P869</f>
        <v>794.14</v>
      </c>
      <c r="P111" s="201">
        <f>BANKWISE!Q869</f>
        <v>1617.6785714285716</v>
      </c>
      <c r="Q111" s="201" t="e">
        <f>BANKWISE!#REF!</f>
        <v>#REF!</v>
      </c>
      <c r="R111" s="199" t="e">
        <f t="shared" si="3"/>
        <v>#REF!</v>
      </c>
      <c r="T111" s="201">
        <v>0</v>
      </c>
      <c r="U111" s="201">
        <v>0</v>
      </c>
      <c r="V111" s="201">
        <v>0</v>
      </c>
      <c r="W111" s="201">
        <v>0</v>
      </c>
      <c r="X111" s="201">
        <v>5000</v>
      </c>
      <c r="Y111" s="201">
        <v>5000</v>
      </c>
    </row>
    <row r="112" spans="1:25" ht="15">
      <c r="A112" s="200"/>
      <c r="B112" s="200"/>
      <c r="C112" s="200"/>
      <c r="D112" s="200"/>
      <c r="E112" s="200"/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199">
        <f t="shared" si="3"/>
        <v>0</v>
      </c>
      <c r="T112" s="200"/>
      <c r="U112" s="200"/>
      <c r="V112" s="201"/>
      <c r="W112" s="200"/>
      <c r="X112" s="200"/>
      <c r="Y112" s="201"/>
    </row>
    <row r="113" spans="1:25" ht="15">
      <c r="A113" s="200"/>
      <c r="B113" s="200">
        <v>54</v>
      </c>
      <c r="C113" s="200" t="s">
        <v>502</v>
      </c>
      <c r="D113" s="199">
        <f>BANKWISE!E872</f>
        <v>0</v>
      </c>
      <c r="E113" s="199">
        <f>BANKWISE!F872</f>
        <v>0</v>
      </c>
      <c r="F113" s="199">
        <f>BANKWISE!G872</f>
        <v>0</v>
      </c>
      <c r="G113" s="199">
        <f>BANKWISE!H872</f>
        <v>0</v>
      </c>
      <c r="H113" s="199">
        <f>BANKWISE!I872</f>
        <v>0</v>
      </c>
      <c r="I113" s="199">
        <f>BANKWISE!J872</f>
        <v>0</v>
      </c>
      <c r="J113" s="199">
        <f>BANKWISE!K872</f>
        <v>0</v>
      </c>
      <c r="K113" s="199">
        <f>BANKWISE!L872</f>
        <v>65.82578600137505</v>
      </c>
      <c r="L113" s="199">
        <f>BANKWISE!M872</f>
        <v>100.53392771119097</v>
      </c>
      <c r="M113" s="199">
        <f>BANKWISE!N872</f>
        <v>148.40722662128192</v>
      </c>
      <c r="N113" s="199">
        <f>BANKWISE!O872</f>
        <v>39.2375</v>
      </c>
      <c r="O113" s="199">
        <f>BANKWISE!P872</f>
        <v>241</v>
      </c>
      <c r="P113" s="199">
        <f>BANKWISE!Q872</f>
        <v>495</v>
      </c>
      <c r="Q113" s="199" t="e">
        <f>BANKWISE!#REF!</f>
        <v>#REF!</v>
      </c>
      <c r="R113" s="199" t="e">
        <f t="shared" si="3"/>
        <v>#REF!</v>
      </c>
      <c r="T113" s="199">
        <v>0</v>
      </c>
      <c r="U113" s="199">
        <v>0</v>
      </c>
      <c r="V113" s="199">
        <v>0</v>
      </c>
      <c r="W113" s="199">
        <v>0</v>
      </c>
      <c r="X113" s="199">
        <v>500</v>
      </c>
      <c r="Y113" s="199">
        <v>500</v>
      </c>
    </row>
    <row r="114" spans="1:25" ht="15">
      <c r="A114" s="200"/>
      <c r="B114" s="200"/>
      <c r="C114" s="200"/>
      <c r="D114" s="200"/>
      <c r="E114" s="200"/>
      <c r="F114" s="200"/>
      <c r="G114" s="200"/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  <c r="R114" s="199">
        <f t="shared" si="3"/>
        <v>0</v>
      </c>
      <c r="T114" s="200"/>
      <c r="U114" s="200"/>
      <c r="V114" s="201"/>
      <c r="W114" s="200"/>
      <c r="X114" s="200"/>
      <c r="Y114" s="201"/>
    </row>
    <row r="115" spans="1:25" ht="15">
      <c r="A115" s="200"/>
      <c r="B115" s="200">
        <v>55</v>
      </c>
      <c r="C115" s="200" t="s">
        <v>503</v>
      </c>
      <c r="D115" s="199">
        <f>BANKWISE!E876</f>
        <v>200</v>
      </c>
      <c r="E115" s="199">
        <f>BANKWISE!F876</f>
        <v>0</v>
      </c>
      <c r="F115" s="199">
        <f>BANKWISE!G876</f>
        <v>199</v>
      </c>
      <c r="G115" s="199">
        <f>BANKWISE!H876</f>
        <v>0</v>
      </c>
      <c r="H115" s="199">
        <f>BANKWISE!I876</f>
        <v>0</v>
      </c>
      <c r="I115" s="199">
        <f>BANKWISE!J876</f>
        <v>199</v>
      </c>
      <c r="J115" s="199">
        <f>BANKWISE!K876</f>
        <v>0</v>
      </c>
      <c r="K115" s="199">
        <f>BANKWISE!L876</f>
        <v>658.2578600137505</v>
      </c>
      <c r="L115" s="199">
        <f>BANKWISE!M876</f>
        <v>1005.3392771119096</v>
      </c>
      <c r="M115" s="199">
        <f>BANKWISE!N876</f>
        <v>1484.0722662128192</v>
      </c>
      <c r="N115" s="199">
        <f>BANKWISE!O876</f>
        <v>44</v>
      </c>
      <c r="O115" s="199">
        <f>BANKWISE!P876</f>
        <v>276</v>
      </c>
      <c r="P115" s="199">
        <f>BANKWISE!Q876</f>
        <v>550</v>
      </c>
      <c r="Q115" s="199" t="e">
        <f>BANKWISE!#REF!</f>
        <v>#REF!</v>
      </c>
      <c r="R115" s="199" t="e">
        <f t="shared" si="3"/>
        <v>#REF!</v>
      </c>
      <c r="T115" s="199">
        <v>0</v>
      </c>
      <c r="U115" s="199">
        <v>0</v>
      </c>
      <c r="V115" s="211">
        <v>0</v>
      </c>
      <c r="W115" s="199">
        <v>0</v>
      </c>
      <c r="X115" s="199">
        <v>5000</v>
      </c>
      <c r="Y115" s="211">
        <v>5000</v>
      </c>
    </row>
    <row r="116" spans="1:25" ht="15">
      <c r="A116" s="200"/>
      <c r="B116" s="200"/>
      <c r="C116" s="200"/>
      <c r="D116" s="201"/>
      <c r="E116" s="201"/>
      <c r="F116" s="201"/>
      <c r="G116" s="201"/>
      <c r="H116" s="201"/>
      <c r="I116" s="201"/>
      <c r="J116" s="201"/>
      <c r="K116" s="201"/>
      <c r="L116" s="201"/>
      <c r="M116" s="201"/>
      <c r="N116" s="201"/>
      <c r="O116" s="201"/>
      <c r="P116" s="201"/>
      <c r="Q116" s="201"/>
      <c r="R116" s="199">
        <f t="shared" si="3"/>
        <v>0</v>
      </c>
      <c r="T116" s="201"/>
      <c r="U116" s="201"/>
      <c r="V116" s="201"/>
      <c r="W116" s="201"/>
      <c r="X116" s="201"/>
      <c r="Y116" s="201"/>
    </row>
    <row r="117" spans="1:25" ht="30">
      <c r="A117" s="200"/>
      <c r="B117" s="200">
        <v>56</v>
      </c>
      <c r="C117" s="200" t="s">
        <v>504</v>
      </c>
      <c r="D117" s="210">
        <f>BANKWISE!E814</f>
        <v>0</v>
      </c>
      <c r="E117" s="210">
        <f>BANKWISE!F814</f>
        <v>0</v>
      </c>
      <c r="F117" s="210">
        <f>BANKWISE!G814</f>
        <v>0</v>
      </c>
      <c r="G117" s="210">
        <f>BANKWISE!H814</f>
        <v>0</v>
      </c>
      <c r="H117" s="210">
        <f>BANKWISE!I814</f>
        <v>0</v>
      </c>
      <c r="I117" s="210">
        <f>BANKWISE!J814</f>
        <v>0</v>
      </c>
      <c r="J117" s="210">
        <f>BANKWISE!K814</f>
        <v>522.8832764606358</v>
      </c>
      <c r="K117" s="210">
        <f>BANKWISE!L814</f>
        <v>399.62975811919983</v>
      </c>
      <c r="L117" s="210">
        <f>BANKWISE!M814</f>
        <v>610.3436305820507</v>
      </c>
      <c r="M117" s="210">
        <f>BANKWISE!N814</f>
        <v>900.9834546687415</v>
      </c>
      <c r="N117" s="210">
        <f>BANKWISE!O814</f>
        <v>44.84</v>
      </c>
      <c r="O117" s="210">
        <f>BANKWISE!P814</f>
        <v>277.14</v>
      </c>
      <c r="P117" s="210">
        <f>BANKWISE!Q814</f>
        <v>550</v>
      </c>
      <c r="Q117" s="210" t="e">
        <f>BANKWISE!#REF!</f>
        <v>#REF!</v>
      </c>
      <c r="R117" s="199" t="e">
        <f t="shared" si="3"/>
        <v>#REF!</v>
      </c>
      <c r="T117" s="210">
        <v>0</v>
      </c>
      <c r="U117" s="210">
        <v>0</v>
      </c>
      <c r="V117" s="201">
        <v>0</v>
      </c>
      <c r="W117" s="210">
        <v>121.274288</v>
      </c>
      <c r="X117" s="210">
        <v>3035.51072</v>
      </c>
      <c r="Y117" s="201">
        <v>3156.785008</v>
      </c>
    </row>
    <row r="118" spans="1:25" ht="15">
      <c r="A118" s="200"/>
      <c r="B118" s="200"/>
      <c r="C118" s="200"/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T118" s="200"/>
      <c r="U118" s="200"/>
      <c r="V118" s="200"/>
      <c r="W118" s="200"/>
      <c r="X118" s="200"/>
      <c r="Y118" s="200"/>
    </row>
    <row r="119" spans="1:25" ht="15">
      <c r="A119" s="200"/>
      <c r="B119" s="200"/>
      <c r="C119" s="200" t="s">
        <v>505</v>
      </c>
      <c r="D119" s="201">
        <f aca="true" t="shared" si="4" ref="D119:R119">D7+D9+D11+D13+D15+D17+D19+D21+D23+D25+D27+D29+D31+D33+D35+D37+D39+D41+D43+D45+D47+D49+D51+D53+D55+D57+D59+D61+D63+D65+D67+D71+D73+D75+D77+D79+D81+D83+D85+D87+D89+D91+D93+D95+D97+D99+D101+D103+D105+D107+D109+D111+D113+D115+D117</f>
        <v>1991301.4869975506</v>
      </c>
      <c r="E119" s="201">
        <f t="shared" si="4"/>
        <v>1812418.0185874477</v>
      </c>
      <c r="F119" s="201">
        <f t="shared" si="4"/>
        <v>3803718.505585</v>
      </c>
      <c r="G119" s="201">
        <f t="shared" si="4"/>
        <v>219387.13294153183</v>
      </c>
      <c r="H119" s="201">
        <f t="shared" si="4"/>
        <v>205486.00190901963</v>
      </c>
      <c r="I119" s="201">
        <f t="shared" si="4"/>
        <v>4228591.64043555</v>
      </c>
      <c r="J119" s="201">
        <f t="shared" si="4"/>
        <v>15752774.470001344</v>
      </c>
      <c r="K119" s="201">
        <f t="shared" si="4"/>
        <v>2059645.8969506563</v>
      </c>
      <c r="L119" s="201">
        <f t="shared" si="4"/>
        <v>3145642.6319493335</v>
      </c>
      <c r="M119" s="201">
        <f t="shared" si="4"/>
        <v>4643568.718791708</v>
      </c>
      <c r="N119" s="201">
        <f t="shared" si="4"/>
        <v>31349.202499999985</v>
      </c>
      <c r="O119" s="201">
        <f t="shared" si="4"/>
        <v>193758.18000000017</v>
      </c>
      <c r="P119" s="201">
        <f t="shared" si="4"/>
        <v>400373.7812500001</v>
      </c>
      <c r="Q119" s="201" t="e">
        <f t="shared" si="4"/>
        <v>#REF!</v>
      </c>
      <c r="R119" s="201" t="e">
        <f t="shared" si="4"/>
        <v>#REF!</v>
      </c>
      <c r="T119" s="201">
        <v>2999550.37514442</v>
      </c>
      <c r="U119" s="201">
        <v>2733638.31739523</v>
      </c>
      <c r="V119" s="201">
        <v>5733186.69253965</v>
      </c>
      <c r="W119" s="201">
        <v>4653954.24078646</v>
      </c>
      <c r="X119" s="201">
        <v>20797505.0776584</v>
      </c>
      <c r="Y119" s="201">
        <v>31184650.0109846</v>
      </c>
    </row>
    <row r="120" spans="1:25" ht="15">
      <c r="A120" s="200"/>
      <c r="B120" s="200"/>
      <c r="C120" s="200"/>
      <c r="D120" s="200"/>
      <c r="E120" s="200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T120" s="200"/>
      <c r="U120" s="200"/>
      <c r="V120" s="200"/>
      <c r="W120" s="200"/>
      <c r="X120" s="200"/>
      <c r="Y120" s="200"/>
    </row>
    <row r="121" spans="1:25" ht="15">
      <c r="A121" s="200"/>
      <c r="B121" s="200"/>
      <c r="C121" s="200" t="s">
        <v>358</v>
      </c>
      <c r="D121" s="201">
        <v>2010443.362940807</v>
      </c>
      <c r="E121" s="201">
        <v>1829873.103500235</v>
      </c>
      <c r="F121" s="201">
        <v>3840316.4664410423</v>
      </c>
      <c r="G121" s="201">
        <v>221500.3415207516</v>
      </c>
      <c r="H121" s="201">
        <v>207465.52733744925</v>
      </c>
      <c r="I121" s="201">
        <v>4269282.335299243</v>
      </c>
      <c r="J121" s="201">
        <v>15795988.231045857</v>
      </c>
      <c r="K121" s="201">
        <v>2062499.8634321084</v>
      </c>
      <c r="L121" s="201">
        <v>3149999.61693114</v>
      </c>
      <c r="M121" s="201">
        <v>4649999.767850731</v>
      </c>
      <c r="N121" s="201">
        <v>31388</v>
      </c>
      <c r="O121" s="201">
        <v>194000</v>
      </c>
      <c r="P121" s="201">
        <v>400875</v>
      </c>
      <c r="Q121" s="201">
        <v>10488763.293143988</v>
      </c>
      <c r="R121" s="201">
        <v>31184634</v>
      </c>
      <c r="T121" s="201">
        <v>2999550</v>
      </c>
      <c r="U121" s="201">
        <v>2733636</v>
      </c>
      <c r="V121" s="201">
        <v>5733186</v>
      </c>
      <c r="W121" s="201">
        <v>4653948</v>
      </c>
      <c r="X121" s="201">
        <v>20797500</v>
      </c>
      <c r="Y121" s="201">
        <v>31184634</v>
      </c>
    </row>
    <row r="122" spans="1:25" ht="15">
      <c r="A122" s="200"/>
      <c r="B122" s="200"/>
      <c r="C122" s="200"/>
      <c r="D122" s="200"/>
      <c r="E122" s="200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T122" s="200"/>
      <c r="U122" s="200"/>
      <c r="V122" s="200"/>
      <c r="W122" s="200"/>
      <c r="X122" s="200"/>
      <c r="Y122" s="200"/>
    </row>
    <row r="123" spans="1:25" ht="15">
      <c r="A123" s="200"/>
      <c r="B123" s="200"/>
      <c r="C123" s="200" t="s">
        <v>47</v>
      </c>
      <c r="D123" s="201"/>
      <c r="E123" s="201"/>
      <c r="F123" s="201"/>
      <c r="G123" s="201"/>
      <c r="H123" s="201"/>
      <c r="I123" s="201"/>
      <c r="J123" s="201"/>
      <c r="K123" s="201"/>
      <c r="L123" s="201"/>
      <c r="M123" s="201"/>
      <c r="N123" s="201"/>
      <c r="O123" s="201"/>
      <c r="P123" s="201"/>
      <c r="Q123" s="201"/>
      <c r="R123" s="201"/>
      <c r="T123" s="201">
        <v>0.375144417397678</v>
      </c>
      <c r="U123" s="201">
        <v>2.31739522935823</v>
      </c>
      <c r="V123" s="201">
        <v>0.692539647221565</v>
      </c>
      <c r="W123" s="201">
        <v>6.24078646209091</v>
      </c>
      <c r="X123" s="201">
        <v>5.07765844464302</v>
      </c>
      <c r="Y123" s="201">
        <v>16.0109845511615</v>
      </c>
    </row>
    <row r="124" spans="1:25" ht="15">
      <c r="A124" s="212"/>
      <c r="B124" s="212"/>
      <c r="C124" s="212"/>
      <c r="D124" s="212"/>
      <c r="E124" s="212"/>
      <c r="F124" s="212"/>
      <c r="G124" s="212"/>
      <c r="H124" s="212"/>
      <c r="I124" s="212"/>
      <c r="J124" s="212"/>
      <c r="K124" s="212"/>
      <c r="L124" s="212"/>
      <c r="M124" s="212"/>
      <c r="N124" s="212"/>
      <c r="O124" s="212"/>
      <c r="P124" s="212"/>
      <c r="Q124" s="212"/>
      <c r="R124" s="212"/>
      <c r="T124" s="212"/>
      <c r="U124" s="212"/>
      <c r="V124" s="212"/>
      <c r="W124" s="212"/>
      <c r="X124" s="212"/>
      <c r="Y124" s="212"/>
    </row>
    <row r="125" spans="1:25" ht="15">
      <c r="A125" s="212"/>
      <c r="B125" s="212"/>
      <c r="C125" s="212"/>
      <c r="D125" s="213">
        <f>D121-D119</f>
        <v>19141.87594325631</v>
      </c>
      <c r="E125" s="213">
        <f>E121-E119</f>
        <v>17455.08491278719</v>
      </c>
      <c r="F125" s="213">
        <f>F121-F119</f>
        <v>36597.96085604234</v>
      </c>
      <c r="G125" s="213">
        <f>G121-G119</f>
        <v>2113.2085792197613</v>
      </c>
      <c r="H125" s="213">
        <f>H121-H119</f>
        <v>1979.5254284296243</v>
      </c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T125" s="212"/>
      <c r="U125" s="212"/>
      <c r="V125" s="212"/>
      <c r="W125" s="212"/>
      <c r="X125" s="212"/>
      <c r="Y125" s="212"/>
    </row>
    <row r="126" spans="1:25" ht="15">
      <c r="A126" s="212"/>
      <c r="B126" s="212"/>
      <c r="C126" s="212"/>
      <c r="D126" s="212"/>
      <c r="E126" s="212"/>
      <c r="F126" s="212"/>
      <c r="G126" s="212"/>
      <c r="H126" s="212"/>
      <c r="I126" s="212"/>
      <c r="J126" s="212"/>
      <c r="K126" s="212"/>
      <c r="L126" s="212"/>
      <c r="M126" s="212"/>
      <c r="N126" s="212"/>
      <c r="O126" s="212"/>
      <c r="P126" s="212"/>
      <c r="Q126" s="212"/>
      <c r="R126" s="212"/>
      <c r="T126" s="212"/>
      <c r="U126" s="212"/>
      <c r="V126" s="212"/>
      <c r="W126" s="212"/>
      <c r="X126" s="212"/>
      <c r="Y126" s="212"/>
    </row>
    <row r="127" spans="1:25" ht="15">
      <c r="A127" s="212"/>
      <c r="B127" s="212"/>
      <c r="C127" s="212"/>
      <c r="D127" s="212"/>
      <c r="E127" s="212"/>
      <c r="F127" s="212"/>
      <c r="G127" s="212"/>
      <c r="H127" s="212"/>
      <c r="I127" s="212"/>
      <c r="J127" s="212"/>
      <c r="K127" s="212"/>
      <c r="L127" s="212"/>
      <c r="M127" s="212"/>
      <c r="N127" s="212"/>
      <c r="O127" s="212"/>
      <c r="P127" s="212"/>
      <c r="Q127" s="212"/>
      <c r="R127" s="212"/>
      <c r="T127" s="212"/>
      <c r="U127" s="212"/>
      <c r="V127" s="212"/>
      <c r="W127" s="212"/>
      <c r="X127" s="212"/>
      <c r="Y127" s="212"/>
    </row>
    <row r="128" spans="1:25" ht="15">
      <c r="A128" s="212"/>
      <c r="B128" s="212"/>
      <c r="C128" s="212"/>
      <c r="D128" s="212"/>
      <c r="E128" s="212"/>
      <c r="F128" s="212"/>
      <c r="G128" s="212"/>
      <c r="H128" s="212"/>
      <c r="I128" s="212"/>
      <c r="J128" s="212"/>
      <c r="K128" s="212"/>
      <c r="L128" s="212"/>
      <c r="M128" s="212"/>
      <c r="N128" s="212"/>
      <c r="O128" s="212"/>
      <c r="P128" s="212"/>
      <c r="Q128" s="212"/>
      <c r="R128" s="212"/>
      <c r="T128" s="212"/>
      <c r="U128" s="212"/>
      <c r="V128" s="212"/>
      <c r="W128" s="212"/>
      <c r="X128" s="212"/>
      <c r="Y128" s="212"/>
    </row>
    <row r="129" spans="1:25" ht="15">
      <c r="A129" s="212"/>
      <c r="B129" s="212"/>
      <c r="C129" s="212"/>
      <c r="D129" s="212"/>
      <c r="E129" s="212"/>
      <c r="F129" s="212"/>
      <c r="G129" s="212"/>
      <c r="H129" s="212"/>
      <c r="I129" s="212"/>
      <c r="J129" s="212"/>
      <c r="K129" s="212"/>
      <c r="L129" s="212"/>
      <c r="M129" s="212"/>
      <c r="N129" s="212"/>
      <c r="O129" s="212"/>
      <c r="P129" s="212"/>
      <c r="Q129" s="212"/>
      <c r="R129" s="212"/>
      <c r="T129" s="212"/>
      <c r="U129" s="212"/>
      <c r="V129" s="212"/>
      <c r="W129" s="212"/>
      <c r="X129" s="212"/>
      <c r="Y129" s="212"/>
    </row>
    <row r="130" spans="1:25" ht="15">
      <c r="A130" s="212"/>
      <c r="B130" s="212"/>
      <c r="C130" s="212"/>
      <c r="D130" s="212"/>
      <c r="E130" s="212"/>
      <c r="F130" s="212"/>
      <c r="G130" s="212"/>
      <c r="H130" s="212"/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T130" s="212"/>
      <c r="U130" s="212"/>
      <c r="V130" s="212"/>
      <c r="W130" s="212"/>
      <c r="X130" s="212"/>
      <c r="Y130" s="212"/>
    </row>
    <row r="131" spans="1:25" ht="15">
      <c r="A131" s="212"/>
      <c r="B131" s="212"/>
      <c r="C131" s="212"/>
      <c r="D131" s="212"/>
      <c r="E131" s="212"/>
      <c r="F131" s="212"/>
      <c r="G131" s="212"/>
      <c r="H131" s="212"/>
      <c r="I131" s="212"/>
      <c r="J131" s="212"/>
      <c r="K131" s="212"/>
      <c r="L131" s="212"/>
      <c r="M131" s="212"/>
      <c r="N131" s="212"/>
      <c r="O131" s="212"/>
      <c r="P131" s="212"/>
      <c r="Q131" s="212"/>
      <c r="R131" s="212"/>
      <c r="T131" s="212"/>
      <c r="U131" s="212"/>
      <c r="V131" s="212"/>
      <c r="W131" s="212"/>
      <c r="X131" s="212"/>
      <c r="Y131" s="212"/>
    </row>
  </sheetData>
  <sheetProtection selectLockedCells="1" selectUnlockedCells="1"/>
  <mergeCells count="2">
    <mergeCell ref="D2:P2"/>
    <mergeCell ref="T2:X2"/>
  </mergeCells>
  <printOptions/>
  <pageMargins left="0" right="0" top="0.3944444444444445" bottom="0.3944444444444445" header="0" footer="0"/>
  <pageSetup firstPageNumber="1" useFirstPageNumber="1" horizontalDpi="300" verticalDpi="300" orientation="portrait" pageOrder="overThenDown" scale="72"/>
  <headerFooter alignWithMargins="0">
    <oddHeader>&amp;C&amp;A</oddHeader>
    <oddFooter>&amp;CPage &amp;P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Prakash Ananda Kamble</dc:creator>
  <cp:keywords/>
  <dc:description/>
  <cp:lastModifiedBy>Softrak</cp:lastModifiedBy>
  <cp:lastPrinted>2016-11-30T04:14:54Z</cp:lastPrinted>
  <dcterms:created xsi:type="dcterms:W3CDTF">2016-11-18T11:46:08Z</dcterms:created>
  <dcterms:modified xsi:type="dcterms:W3CDTF">2016-12-05T09:43:21Z</dcterms:modified>
  <cp:category/>
  <cp:version/>
  <cp:contentType/>
  <cp:contentStatus/>
</cp:coreProperties>
</file>